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6ED3A03B-C786-41A2-84B2-0DCEEE21F24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年間" sheetId="1" r:id="rId1"/>
    <sheet name="1月" sheetId="2" r:id="rId2"/>
    <sheet name="2月" sheetId="3" r:id="rId3"/>
    <sheet name="3月" sheetId="4" r:id="rId4"/>
    <sheet name="4月" sheetId="5" r:id="rId5"/>
    <sheet name="5月" sheetId="6" r:id="rId6"/>
    <sheet name="6月" sheetId="7" r:id="rId7"/>
    <sheet name="7月" sheetId="8" r:id="rId8"/>
    <sheet name="8月" sheetId="9" r:id="rId9"/>
    <sheet name="9月" sheetId="10" r:id="rId10"/>
    <sheet name="10月" sheetId="11" r:id="rId11"/>
    <sheet name="11月" sheetId="12" r:id="rId12"/>
    <sheet name="12月" sheetId="13" r:id="rId13"/>
    <sheet name="祝日" sheetId="14" r:id="rId14"/>
  </sheets>
  <definedNames>
    <definedName name="_xlnm.Print_Area" localSheetId="10">'10月'!$A$1:$G$14</definedName>
    <definedName name="_xlnm.Print_Area" localSheetId="11">'11月'!$A$1:$G$14</definedName>
    <definedName name="_xlnm.Print_Area" localSheetId="12">'12月'!$A$1:$G$14</definedName>
    <definedName name="_xlnm.Print_Area" localSheetId="1">'1月'!$A$1:$G$14</definedName>
    <definedName name="_xlnm.Print_Area" localSheetId="2">'2月'!$A$1:$G$14</definedName>
    <definedName name="_xlnm.Print_Area" localSheetId="3">'3月'!$A$1:$G$14</definedName>
    <definedName name="_xlnm.Print_Area" localSheetId="4">'4月'!$A$1:$G$14</definedName>
    <definedName name="_xlnm.Print_Area" localSheetId="5">'5月'!$A$1:$G$14</definedName>
    <definedName name="_xlnm.Print_Area" localSheetId="6">'6月'!$A$1:$G$14</definedName>
    <definedName name="_xlnm.Print_Area" localSheetId="7">'7月'!$A$1:$G$14</definedName>
    <definedName name="_xlnm.Print_Area" localSheetId="8">'8月'!$A$1:$G$14</definedName>
    <definedName name="_xlnm.Print_Area" localSheetId="9">'9月'!$A$1:$G$14</definedName>
    <definedName name="_xlnm.Print_Area" localSheetId="0">年間!$A$1:$AE$32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3" l="1"/>
  <c r="F14" i="13"/>
  <c r="E14" i="13"/>
  <c r="D14" i="13"/>
  <c r="C14" i="13"/>
  <c r="B14" i="13"/>
  <c r="A14" i="13"/>
  <c r="G13" i="13"/>
  <c r="F13" i="13"/>
  <c r="E13" i="13"/>
  <c r="D13" i="13"/>
  <c r="C13" i="13"/>
  <c r="B13" i="13"/>
  <c r="A13" i="13"/>
  <c r="G12" i="13"/>
  <c r="F12" i="13"/>
  <c r="E12" i="13"/>
  <c r="D12" i="13"/>
  <c r="C12" i="13"/>
  <c r="B12" i="13"/>
  <c r="A12" i="13"/>
  <c r="G11" i="13"/>
  <c r="F11" i="13"/>
  <c r="E11" i="13"/>
  <c r="D11" i="13"/>
  <c r="C11" i="13"/>
  <c r="B11" i="13"/>
  <c r="A11" i="13"/>
  <c r="G10" i="13"/>
  <c r="F10" i="13"/>
  <c r="E10" i="13"/>
  <c r="D10" i="13"/>
  <c r="C10" i="13"/>
  <c r="B10" i="13"/>
  <c r="A10" i="13"/>
  <c r="G9" i="13"/>
  <c r="F9" i="13"/>
  <c r="E9" i="13"/>
  <c r="D9" i="13"/>
  <c r="C9" i="13"/>
  <c r="B9" i="13"/>
  <c r="A9" i="13"/>
  <c r="G8" i="13"/>
  <c r="F8" i="13"/>
  <c r="E8" i="13"/>
  <c r="D8" i="13"/>
  <c r="C8" i="13"/>
  <c r="B8" i="13"/>
  <c r="A8" i="13"/>
  <c r="G7" i="13"/>
  <c r="F7" i="13"/>
  <c r="E7" i="13"/>
  <c r="D7" i="13"/>
  <c r="C7" i="13"/>
  <c r="B7" i="13"/>
  <c r="A7" i="13"/>
  <c r="G6" i="13"/>
  <c r="F6" i="13"/>
  <c r="E6" i="13"/>
  <c r="D6" i="13"/>
  <c r="C6" i="13"/>
  <c r="B6" i="13"/>
  <c r="A6" i="13"/>
  <c r="G5" i="13"/>
  <c r="F5" i="13"/>
  <c r="E5" i="13"/>
  <c r="D5" i="13"/>
  <c r="C5" i="13"/>
  <c r="B5" i="13"/>
  <c r="A5" i="13"/>
  <c r="G4" i="13"/>
  <c r="F4" i="13"/>
  <c r="E4" i="13"/>
  <c r="D4" i="13"/>
  <c r="C4" i="13"/>
  <c r="B4" i="13"/>
  <c r="A4" i="13"/>
  <c r="G3" i="13"/>
  <c r="F3" i="13"/>
  <c r="E3" i="13"/>
  <c r="D3" i="13"/>
  <c r="C3" i="13"/>
  <c r="B3" i="13"/>
  <c r="A3" i="13"/>
  <c r="A1" i="13"/>
  <c r="G14" i="12"/>
  <c r="F14" i="12"/>
  <c r="E14" i="12"/>
  <c r="D14" i="12"/>
  <c r="C14" i="12"/>
  <c r="B14" i="12"/>
  <c r="A14" i="12"/>
  <c r="G13" i="12"/>
  <c r="F13" i="12"/>
  <c r="E13" i="12"/>
  <c r="D13" i="12"/>
  <c r="C13" i="12"/>
  <c r="B13" i="12"/>
  <c r="A13" i="12"/>
  <c r="G12" i="12"/>
  <c r="F12" i="12"/>
  <c r="E12" i="12"/>
  <c r="D12" i="12"/>
  <c r="C12" i="12"/>
  <c r="B12" i="12"/>
  <c r="A12" i="12"/>
  <c r="G11" i="12"/>
  <c r="F11" i="12"/>
  <c r="E11" i="12"/>
  <c r="D11" i="12"/>
  <c r="C11" i="12"/>
  <c r="B11" i="12"/>
  <c r="A11" i="12"/>
  <c r="G10" i="12"/>
  <c r="F10" i="12"/>
  <c r="E10" i="12"/>
  <c r="D10" i="12"/>
  <c r="C10" i="12"/>
  <c r="B10" i="12"/>
  <c r="A10" i="12"/>
  <c r="G9" i="12"/>
  <c r="F9" i="12"/>
  <c r="E9" i="12"/>
  <c r="D9" i="12"/>
  <c r="C9" i="12"/>
  <c r="B9" i="12"/>
  <c r="A9" i="12"/>
  <c r="G8" i="12"/>
  <c r="F8" i="12"/>
  <c r="E8" i="12"/>
  <c r="D8" i="12"/>
  <c r="C8" i="12"/>
  <c r="B8" i="12"/>
  <c r="A8" i="12"/>
  <c r="G7" i="12"/>
  <c r="F7" i="12"/>
  <c r="E7" i="12"/>
  <c r="D7" i="12"/>
  <c r="C7" i="12"/>
  <c r="B7" i="12"/>
  <c r="A7" i="12"/>
  <c r="G6" i="12"/>
  <c r="F6" i="12"/>
  <c r="E6" i="12"/>
  <c r="D6" i="12"/>
  <c r="C6" i="12"/>
  <c r="B6" i="12"/>
  <c r="A6" i="12"/>
  <c r="G5" i="12"/>
  <c r="F5" i="12"/>
  <c r="E5" i="12"/>
  <c r="D5" i="12"/>
  <c r="C5" i="12"/>
  <c r="B5" i="12"/>
  <c r="A5" i="12"/>
  <c r="G4" i="12"/>
  <c r="F4" i="12"/>
  <c r="E4" i="12"/>
  <c r="D4" i="12"/>
  <c r="C4" i="12"/>
  <c r="B4" i="12"/>
  <c r="A4" i="12"/>
  <c r="G3" i="12"/>
  <c r="F3" i="12"/>
  <c r="E3" i="12"/>
  <c r="D3" i="12"/>
  <c r="C3" i="12"/>
  <c r="B3" i="12"/>
  <c r="A3" i="12"/>
  <c r="A1" i="12"/>
  <c r="G14" i="11"/>
  <c r="F14" i="11"/>
  <c r="E14" i="11"/>
  <c r="D14" i="11"/>
  <c r="C14" i="11"/>
  <c r="B14" i="11"/>
  <c r="A14" i="11"/>
  <c r="G13" i="11"/>
  <c r="F13" i="11"/>
  <c r="E13" i="11"/>
  <c r="D13" i="11"/>
  <c r="C13" i="11"/>
  <c r="B13" i="11"/>
  <c r="A13" i="11"/>
  <c r="G12" i="11"/>
  <c r="F12" i="11"/>
  <c r="E12" i="11"/>
  <c r="D12" i="11"/>
  <c r="C12" i="11"/>
  <c r="B12" i="11"/>
  <c r="A12" i="11"/>
  <c r="G11" i="11"/>
  <c r="F11" i="11"/>
  <c r="E11" i="11"/>
  <c r="D11" i="11"/>
  <c r="C11" i="11"/>
  <c r="B11" i="11"/>
  <c r="A11" i="11"/>
  <c r="G10" i="11"/>
  <c r="F10" i="11"/>
  <c r="E10" i="11"/>
  <c r="D10" i="11"/>
  <c r="C10" i="11"/>
  <c r="B10" i="11"/>
  <c r="A10" i="11"/>
  <c r="G9" i="11"/>
  <c r="F9" i="11"/>
  <c r="E9" i="11"/>
  <c r="D9" i="11"/>
  <c r="C9" i="11"/>
  <c r="B9" i="11"/>
  <c r="A9" i="11"/>
  <c r="G8" i="11"/>
  <c r="F8" i="11"/>
  <c r="E8" i="11"/>
  <c r="D8" i="11"/>
  <c r="C8" i="11"/>
  <c r="B8" i="11"/>
  <c r="A8" i="11"/>
  <c r="G7" i="11"/>
  <c r="F7" i="11"/>
  <c r="E7" i="11"/>
  <c r="D7" i="11"/>
  <c r="C7" i="11"/>
  <c r="B7" i="11"/>
  <c r="A7" i="11"/>
  <c r="G6" i="11"/>
  <c r="F6" i="11"/>
  <c r="E6" i="11"/>
  <c r="D6" i="11"/>
  <c r="C6" i="11"/>
  <c r="B6" i="11"/>
  <c r="A6" i="11"/>
  <c r="G5" i="11"/>
  <c r="F5" i="11"/>
  <c r="E5" i="11"/>
  <c r="D5" i="11"/>
  <c r="C5" i="11"/>
  <c r="B5" i="11"/>
  <c r="A5" i="11"/>
  <c r="G4" i="11"/>
  <c r="F4" i="11"/>
  <c r="E4" i="11"/>
  <c r="D4" i="11"/>
  <c r="C4" i="11"/>
  <c r="B4" i="11"/>
  <c r="A4" i="11"/>
  <c r="G3" i="11"/>
  <c r="F3" i="11"/>
  <c r="E3" i="11"/>
  <c r="D3" i="11"/>
  <c r="C3" i="11"/>
  <c r="B3" i="11"/>
  <c r="A3" i="11"/>
  <c r="A1" i="11"/>
  <c r="G14" i="10"/>
  <c r="F14" i="10"/>
  <c r="E14" i="10"/>
  <c r="D14" i="10"/>
  <c r="C14" i="10"/>
  <c r="B14" i="10"/>
  <c r="A14" i="10"/>
  <c r="G13" i="10"/>
  <c r="F13" i="10"/>
  <c r="E13" i="10"/>
  <c r="D13" i="10"/>
  <c r="C13" i="10"/>
  <c r="B13" i="10"/>
  <c r="A13" i="10"/>
  <c r="G12" i="10"/>
  <c r="F12" i="10"/>
  <c r="E12" i="10"/>
  <c r="D12" i="10"/>
  <c r="C12" i="10"/>
  <c r="B12" i="10"/>
  <c r="A12" i="10"/>
  <c r="G11" i="10"/>
  <c r="F11" i="10"/>
  <c r="E11" i="10"/>
  <c r="D11" i="10"/>
  <c r="C11" i="10"/>
  <c r="B11" i="10"/>
  <c r="A11" i="10"/>
  <c r="G10" i="10"/>
  <c r="F10" i="10"/>
  <c r="E10" i="10"/>
  <c r="D10" i="10"/>
  <c r="C10" i="10"/>
  <c r="B10" i="10"/>
  <c r="A10" i="10"/>
  <c r="G9" i="10"/>
  <c r="F9" i="10"/>
  <c r="E9" i="10"/>
  <c r="D9" i="10"/>
  <c r="C9" i="10"/>
  <c r="B9" i="10"/>
  <c r="A9" i="10"/>
  <c r="G8" i="10"/>
  <c r="F8" i="10"/>
  <c r="E8" i="10"/>
  <c r="D8" i="10"/>
  <c r="C8" i="10"/>
  <c r="B8" i="10"/>
  <c r="A8" i="10"/>
  <c r="G7" i="10"/>
  <c r="F7" i="10"/>
  <c r="E7" i="10"/>
  <c r="D7" i="10"/>
  <c r="C7" i="10"/>
  <c r="B7" i="10"/>
  <c r="A7" i="10"/>
  <c r="G6" i="10"/>
  <c r="F6" i="10"/>
  <c r="E6" i="10"/>
  <c r="D6" i="10"/>
  <c r="C6" i="10"/>
  <c r="B6" i="10"/>
  <c r="A6" i="10"/>
  <c r="G5" i="10"/>
  <c r="F5" i="10"/>
  <c r="E5" i="10"/>
  <c r="D5" i="10"/>
  <c r="C5" i="10"/>
  <c r="B5" i="10"/>
  <c r="A5" i="10"/>
  <c r="G4" i="10"/>
  <c r="F4" i="10"/>
  <c r="E4" i="10"/>
  <c r="D4" i="10"/>
  <c r="C4" i="10"/>
  <c r="B4" i="10"/>
  <c r="A4" i="10"/>
  <c r="G3" i="10"/>
  <c r="F3" i="10"/>
  <c r="E3" i="10"/>
  <c r="D3" i="10"/>
  <c r="C3" i="10"/>
  <c r="B3" i="10"/>
  <c r="A3" i="10"/>
  <c r="A1" i="10"/>
  <c r="G14" i="9"/>
  <c r="F14" i="9"/>
  <c r="E14" i="9"/>
  <c r="D14" i="9"/>
  <c r="C14" i="9"/>
  <c r="B14" i="9"/>
  <c r="A14" i="9"/>
  <c r="G13" i="9"/>
  <c r="F13" i="9"/>
  <c r="E13" i="9"/>
  <c r="D13" i="9"/>
  <c r="C13" i="9"/>
  <c r="B13" i="9"/>
  <c r="A13" i="9"/>
  <c r="G12" i="9"/>
  <c r="F12" i="9"/>
  <c r="E12" i="9"/>
  <c r="D12" i="9"/>
  <c r="C12" i="9"/>
  <c r="B12" i="9"/>
  <c r="A12" i="9"/>
  <c r="G11" i="9"/>
  <c r="F11" i="9"/>
  <c r="E11" i="9"/>
  <c r="D11" i="9"/>
  <c r="C11" i="9"/>
  <c r="B11" i="9"/>
  <c r="A11" i="9"/>
  <c r="G10" i="9"/>
  <c r="F10" i="9"/>
  <c r="E10" i="9"/>
  <c r="D10" i="9"/>
  <c r="C10" i="9"/>
  <c r="B10" i="9"/>
  <c r="A10" i="9"/>
  <c r="G9" i="9"/>
  <c r="F9" i="9"/>
  <c r="E9" i="9"/>
  <c r="D9" i="9"/>
  <c r="C9" i="9"/>
  <c r="B9" i="9"/>
  <c r="A9" i="9"/>
  <c r="G8" i="9"/>
  <c r="F8" i="9"/>
  <c r="E8" i="9"/>
  <c r="D8" i="9"/>
  <c r="C8" i="9"/>
  <c r="B8" i="9"/>
  <c r="A8" i="9"/>
  <c r="G7" i="9"/>
  <c r="F7" i="9"/>
  <c r="E7" i="9"/>
  <c r="D7" i="9"/>
  <c r="C7" i="9"/>
  <c r="B7" i="9"/>
  <c r="A7" i="9"/>
  <c r="G6" i="9"/>
  <c r="F6" i="9"/>
  <c r="E6" i="9"/>
  <c r="D6" i="9"/>
  <c r="C6" i="9"/>
  <c r="B6" i="9"/>
  <c r="A6" i="9"/>
  <c r="G5" i="9"/>
  <c r="F5" i="9"/>
  <c r="E5" i="9"/>
  <c r="D5" i="9"/>
  <c r="C5" i="9"/>
  <c r="B5" i="9"/>
  <c r="A5" i="9"/>
  <c r="G4" i="9"/>
  <c r="F4" i="9"/>
  <c r="E4" i="9"/>
  <c r="D4" i="9"/>
  <c r="C4" i="9"/>
  <c r="B4" i="9"/>
  <c r="A4" i="9"/>
  <c r="G3" i="9"/>
  <c r="F3" i="9"/>
  <c r="E3" i="9"/>
  <c r="D3" i="9"/>
  <c r="C3" i="9"/>
  <c r="B3" i="9"/>
  <c r="A3" i="9"/>
  <c r="A1" i="9"/>
  <c r="G14" i="8"/>
  <c r="F14" i="8"/>
  <c r="E14" i="8"/>
  <c r="D14" i="8"/>
  <c r="C14" i="8"/>
  <c r="B14" i="8"/>
  <c r="A14" i="8"/>
  <c r="G13" i="8"/>
  <c r="F13" i="8"/>
  <c r="E13" i="8"/>
  <c r="D13" i="8"/>
  <c r="C13" i="8"/>
  <c r="B13" i="8"/>
  <c r="A13" i="8"/>
  <c r="G12" i="8"/>
  <c r="F12" i="8"/>
  <c r="E12" i="8"/>
  <c r="D12" i="8"/>
  <c r="C12" i="8"/>
  <c r="B12" i="8"/>
  <c r="A12" i="8"/>
  <c r="G11" i="8"/>
  <c r="F11" i="8"/>
  <c r="E11" i="8"/>
  <c r="D11" i="8"/>
  <c r="C11" i="8"/>
  <c r="B11" i="8"/>
  <c r="A11" i="8"/>
  <c r="G10" i="8"/>
  <c r="F10" i="8"/>
  <c r="E10" i="8"/>
  <c r="D10" i="8"/>
  <c r="C10" i="8"/>
  <c r="B10" i="8"/>
  <c r="A10" i="8"/>
  <c r="G9" i="8"/>
  <c r="F9" i="8"/>
  <c r="E9" i="8"/>
  <c r="D9" i="8"/>
  <c r="C9" i="8"/>
  <c r="B9" i="8"/>
  <c r="A9" i="8"/>
  <c r="G8" i="8"/>
  <c r="F8" i="8"/>
  <c r="E8" i="8"/>
  <c r="D8" i="8"/>
  <c r="C8" i="8"/>
  <c r="B8" i="8"/>
  <c r="A8" i="8"/>
  <c r="G7" i="8"/>
  <c r="F7" i="8"/>
  <c r="E7" i="8"/>
  <c r="D7" i="8"/>
  <c r="C7" i="8"/>
  <c r="B7" i="8"/>
  <c r="A7" i="8"/>
  <c r="G6" i="8"/>
  <c r="F6" i="8"/>
  <c r="E6" i="8"/>
  <c r="D6" i="8"/>
  <c r="C6" i="8"/>
  <c r="B6" i="8"/>
  <c r="A6" i="8"/>
  <c r="G5" i="8"/>
  <c r="F5" i="8"/>
  <c r="E5" i="8"/>
  <c r="D5" i="8"/>
  <c r="C5" i="8"/>
  <c r="B5" i="8"/>
  <c r="A5" i="8"/>
  <c r="G4" i="8"/>
  <c r="F4" i="8"/>
  <c r="E4" i="8"/>
  <c r="D4" i="8"/>
  <c r="C4" i="8"/>
  <c r="B4" i="8"/>
  <c r="A4" i="8"/>
  <c r="G3" i="8"/>
  <c r="F3" i="8"/>
  <c r="E3" i="8"/>
  <c r="D3" i="8"/>
  <c r="C3" i="8"/>
  <c r="B3" i="8"/>
  <c r="A3" i="8"/>
  <c r="A1" i="8"/>
  <c r="G14" i="7"/>
  <c r="F14" i="7"/>
  <c r="E14" i="7"/>
  <c r="D14" i="7"/>
  <c r="C14" i="7"/>
  <c r="B14" i="7"/>
  <c r="A14" i="7"/>
  <c r="G13" i="7"/>
  <c r="F13" i="7"/>
  <c r="E13" i="7"/>
  <c r="D13" i="7"/>
  <c r="C13" i="7"/>
  <c r="B13" i="7"/>
  <c r="A13" i="7"/>
  <c r="G12" i="7"/>
  <c r="F12" i="7"/>
  <c r="E12" i="7"/>
  <c r="D12" i="7"/>
  <c r="C12" i="7"/>
  <c r="B12" i="7"/>
  <c r="A12" i="7"/>
  <c r="G11" i="7"/>
  <c r="F11" i="7"/>
  <c r="E11" i="7"/>
  <c r="D11" i="7"/>
  <c r="C11" i="7"/>
  <c r="B11" i="7"/>
  <c r="A11" i="7"/>
  <c r="G10" i="7"/>
  <c r="F10" i="7"/>
  <c r="E10" i="7"/>
  <c r="D10" i="7"/>
  <c r="C10" i="7"/>
  <c r="B10" i="7"/>
  <c r="A10" i="7"/>
  <c r="G9" i="7"/>
  <c r="F9" i="7"/>
  <c r="E9" i="7"/>
  <c r="D9" i="7"/>
  <c r="C9" i="7"/>
  <c r="B9" i="7"/>
  <c r="A9" i="7"/>
  <c r="G8" i="7"/>
  <c r="F8" i="7"/>
  <c r="E8" i="7"/>
  <c r="D8" i="7"/>
  <c r="C8" i="7"/>
  <c r="B8" i="7"/>
  <c r="A8" i="7"/>
  <c r="G7" i="7"/>
  <c r="F7" i="7"/>
  <c r="E7" i="7"/>
  <c r="D7" i="7"/>
  <c r="C7" i="7"/>
  <c r="B7" i="7"/>
  <c r="A7" i="7"/>
  <c r="G6" i="7"/>
  <c r="F6" i="7"/>
  <c r="E6" i="7"/>
  <c r="D6" i="7"/>
  <c r="C6" i="7"/>
  <c r="B6" i="7"/>
  <c r="A6" i="7"/>
  <c r="G5" i="7"/>
  <c r="F5" i="7"/>
  <c r="E5" i="7"/>
  <c r="D5" i="7"/>
  <c r="C5" i="7"/>
  <c r="B5" i="7"/>
  <c r="A5" i="7"/>
  <c r="G4" i="7"/>
  <c r="F4" i="7"/>
  <c r="E4" i="7"/>
  <c r="D4" i="7"/>
  <c r="C4" i="7"/>
  <c r="B4" i="7"/>
  <c r="A4" i="7"/>
  <c r="G3" i="7"/>
  <c r="F3" i="7"/>
  <c r="E3" i="7"/>
  <c r="D3" i="7"/>
  <c r="C3" i="7"/>
  <c r="B3" i="7"/>
  <c r="A3" i="7"/>
  <c r="A1" i="7"/>
  <c r="G14" i="6"/>
  <c r="F14" i="6"/>
  <c r="E14" i="6"/>
  <c r="D14" i="6"/>
  <c r="C14" i="6"/>
  <c r="B14" i="6"/>
  <c r="A14" i="6"/>
  <c r="G13" i="6"/>
  <c r="F13" i="6"/>
  <c r="E13" i="6"/>
  <c r="D13" i="6"/>
  <c r="C13" i="6"/>
  <c r="B13" i="6"/>
  <c r="A13" i="6"/>
  <c r="G12" i="6"/>
  <c r="F12" i="6"/>
  <c r="E12" i="6"/>
  <c r="D12" i="6"/>
  <c r="C12" i="6"/>
  <c r="B12" i="6"/>
  <c r="A12" i="6"/>
  <c r="G11" i="6"/>
  <c r="F11" i="6"/>
  <c r="E11" i="6"/>
  <c r="D11" i="6"/>
  <c r="C11" i="6"/>
  <c r="B11" i="6"/>
  <c r="A11" i="6"/>
  <c r="G10" i="6"/>
  <c r="F10" i="6"/>
  <c r="E10" i="6"/>
  <c r="D10" i="6"/>
  <c r="C10" i="6"/>
  <c r="B10" i="6"/>
  <c r="A10" i="6"/>
  <c r="G9" i="6"/>
  <c r="F9" i="6"/>
  <c r="E9" i="6"/>
  <c r="D9" i="6"/>
  <c r="C9" i="6"/>
  <c r="B9" i="6"/>
  <c r="A9" i="6"/>
  <c r="G8" i="6"/>
  <c r="F8" i="6"/>
  <c r="E8" i="6"/>
  <c r="D8" i="6"/>
  <c r="C8" i="6"/>
  <c r="B8" i="6"/>
  <c r="A8" i="6"/>
  <c r="G7" i="6"/>
  <c r="F7" i="6"/>
  <c r="E7" i="6"/>
  <c r="D7" i="6"/>
  <c r="C7" i="6"/>
  <c r="B7" i="6"/>
  <c r="A7" i="6"/>
  <c r="G6" i="6"/>
  <c r="F6" i="6"/>
  <c r="E6" i="6"/>
  <c r="D6" i="6"/>
  <c r="C6" i="6"/>
  <c r="B6" i="6"/>
  <c r="A6" i="6"/>
  <c r="G5" i="6"/>
  <c r="F5" i="6"/>
  <c r="E5" i="6"/>
  <c r="D5" i="6"/>
  <c r="C5" i="6"/>
  <c r="B5" i="6"/>
  <c r="A5" i="6"/>
  <c r="G4" i="6"/>
  <c r="F4" i="6"/>
  <c r="E4" i="6"/>
  <c r="D4" i="6"/>
  <c r="C4" i="6"/>
  <c r="B4" i="6"/>
  <c r="A4" i="6"/>
  <c r="G3" i="6"/>
  <c r="F3" i="6"/>
  <c r="E3" i="6"/>
  <c r="D3" i="6"/>
  <c r="C3" i="6"/>
  <c r="B3" i="6"/>
  <c r="A3" i="6"/>
  <c r="A1" i="6"/>
  <c r="G14" i="5"/>
  <c r="F14" i="5"/>
  <c r="E14" i="5"/>
  <c r="D14" i="5"/>
  <c r="C14" i="5"/>
  <c r="B14" i="5"/>
  <c r="A14" i="5"/>
  <c r="G13" i="5"/>
  <c r="F13" i="5"/>
  <c r="E13" i="5"/>
  <c r="D13" i="5"/>
  <c r="C13" i="5"/>
  <c r="B13" i="5"/>
  <c r="A13" i="5"/>
  <c r="G12" i="5"/>
  <c r="F12" i="5"/>
  <c r="E12" i="5"/>
  <c r="D12" i="5"/>
  <c r="C12" i="5"/>
  <c r="B12" i="5"/>
  <c r="A12" i="5"/>
  <c r="G11" i="5"/>
  <c r="F11" i="5"/>
  <c r="E11" i="5"/>
  <c r="D11" i="5"/>
  <c r="C11" i="5"/>
  <c r="B11" i="5"/>
  <c r="A11" i="5"/>
  <c r="G10" i="5"/>
  <c r="F10" i="5"/>
  <c r="E10" i="5"/>
  <c r="D10" i="5"/>
  <c r="C10" i="5"/>
  <c r="B10" i="5"/>
  <c r="A10" i="5"/>
  <c r="G9" i="5"/>
  <c r="F9" i="5"/>
  <c r="E9" i="5"/>
  <c r="D9" i="5"/>
  <c r="C9" i="5"/>
  <c r="B9" i="5"/>
  <c r="A9" i="5"/>
  <c r="G8" i="5"/>
  <c r="F8" i="5"/>
  <c r="E8" i="5"/>
  <c r="D8" i="5"/>
  <c r="C8" i="5"/>
  <c r="B8" i="5"/>
  <c r="A8" i="5"/>
  <c r="G7" i="5"/>
  <c r="F7" i="5"/>
  <c r="E7" i="5"/>
  <c r="D7" i="5"/>
  <c r="C7" i="5"/>
  <c r="B7" i="5"/>
  <c r="A7" i="5"/>
  <c r="G6" i="5"/>
  <c r="F6" i="5"/>
  <c r="E6" i="5"/>
  <c r="D6" i="5"/>
  <c r="C6" i="5"/>
  <c r="B6" i="5"/>
  <c r="A6" i="5"/>
  <c r="G5" i="5"/>
  <c r="F5" i="5"/>
  <c r="E5" i="5"/>
  <c r="D5" i="5"/>
  <c r="C5" i="5"/>
  <c r="B5" i="5"/>
  <c r="A5" i="5"/>
  <c r="G4" i="5"/>
  <c r="F4" i="5"/>
  <c r="E4" i="5"/>
  <c r="D4" i="5"/>
  <c r="C4" i="5"/>
  <c r="B4" i="5"/>
  <c r="A4" i="5"/>
  <c r="G3" i="5"/>
  <c r="F3" i="5"/>
  <c r="E3" i="5"/>
  <c r="D3" i="5"/>
  <c r="C3" i="5"/>
  <c r="B3" i="5"/>
  <c r="A3" i="5"/>
  <c r="A1" i="5"/>
  <c r="G14" i="4"/>
  <c r="F14" i="4"/>
  <c r="E14" i="4"/>
  <c r="D14" i="4"/>
  <c r="C14" i="4"/>
  <c r="B14" i="4"/>
  <c r="A14" i="4"/>
  <c r="G13" i="4"/>
  <c r="F13" i="4"/>
  <c r="E13" i="4"/>
  <c r="D13" i="4"/>
  <c r="C13" i="4"/>
  <c r="B13" i="4"/>
  <c r="A13" i="4"/>
  <c r="G12" i="4"/>
  <c r="F12" i="4"/>
  <c r="E12" i="4"/>
  <c r="D12" i="4"/>
  <c r="C12" i="4"/>
  <c r="B12" i="4"/>
  <c r="A12" i="4"/>
  <c r="G11" i="4"/>
  <c r="F11" i="4"/>
  <c r="E11" i="4"/>
  <c r="D11" i="4"/>
  <c r="C11" i="4"/>
  <c r="B11" i="4"/>
  <c r="A11" i="4"/>
  <c r="G10" i="4"/>
  <c r="F10" i="4"/>
  <c r="E10" i="4"/>
  <c r="D10" i="4"/>
  <c r="C10" i="4"/>
  <c r="B10" i="4"/>
  <c r="A10" i="4"/>
  <c r="G9" i="4"/>
  <c r="F9" i="4"/>
  <c r="E9" i="4"/>
  <c r="D9" i="4"/>
  <c r="C9" i="4"/>
  <c r="B9" i="4"/>
  <c r="A9" i="4"/>
  <c r="G8" i="4"/>
  <c r="F8" i="4"/>
  <c r="E8" i="4"/>
  <c r="D8" i="4"/>
  <c r="C8" i="4"/>
  <c r="B8" i="4"/>
  <c r="A8" i="4"/>
  <c r="G7" i="4"/>
  <c r="F7" i="4"/>
  <c r="E7" i="4"/>
  <c r="D7" i="4"/>
  <c r="C7" i="4"/>
  <c r="B7" i="4"/>
  <c r="A7" i="4"/>
  <c r="G6" i="4"/>
  <c r="F6" i="4"/>
  <c r="E6" i="4"/>
  <c r="D6" i="4"/>
  <c r="C6" i="4"/>
  <c r="B6" i="4"/>
  <c r="A6" i="4"/>
  <c r="G5" i="4"/>
  <c r="F5" i="4"/>
  <c r="E5" i="4"/>
  <c r="D5" i="4"/>
  <c r="C5" i="4"/>
  <c r="B5" i="4"/>
  <c r="A5" i="4"/>
  <c r="G4" i="4"/>
  <c r="F4" i="4"/>
  <c r="E4" i="4"/>
  <c r="D4" i="4"/>
  <c r="C4" i="4"/>
  <c r="B4" i="4"/>
  <c r="A4" i="4"/>
  <c r="G3" i="4"/>
  <c r="F3" i="4"/>
  <c r="E3" i="4"/>
  <c r="D3" i="4"/>
  <c r="C3" i="4"/>
  <c r="B3" i="4"/>
  <c r="A3" i="4"/>
  <c r="A1" i="4"/>
  <c r="G14" i="3"/>
  <c r="F14" i="3"/>
  <c r="E14" i="3"/>
  <c r="D14" i="3"/>
  <c r="C14" i="3"/>
  <c r="B14" i="3"/>
  <c r="A14" i="3"/>
  <c r="G13" i="3"/>
  <c r="F13" i="3"/>
  <c r="E13" i="3"/>
  <c r="D13" i="3"/>
  <c r="C13" i="3"/>
  <c r="B13" i="3"/>
  <c r="A13" i="3"/>
  <c r="G12" i="3"/>
  <c r="F12" i="3"/>
  <c r="E12" i="3"/>
  <c r="D12" i="3"/>
  <c r="C12" i="3"/>
  <c r="B12" i="3"/>
  <c r="A12" i="3"/>
  <c r="G11" i="3"/>
  <c r="F11" i="3"/>
  <c r="E11" i="3"/>
  <c r="D11" i="3"/>
  <c r="C11" i="3"/>
  <c r="B11" i="3"/>
  <c r="A11" i="3"/>
  <c r="G10" i="3"/>
  <c r="F10" i="3"/>
  <c r="E10" i="3"/>
  <c r="D10" i="3"/>
  <c r="C10" i="3"/>
  <c r="B10" i="3"/>
  <c r="A10" i="3"/>
  <c r="G9" i="3"/>
  <c r="F9" i="3"/>
  <c r="E9" i="3"/>
  <c r="D9" i="3"/>
  <c r="C9" i="3"/>
  <c r="B9" i="3"/>
  <c r="A9" i="3"/>
  <c r="G8" i="3"/>
  <c r="F8" i="3"/>
  <c r="E8" i="3"/>
  <c r="D8" i="3"/>
  <c r="C8" i="3"/>
  <c r="B8" i="3"/>
  <c r="A8" i="3"/>
  <c r="G7" i="3"/>
  <c r="F7" i="3"/>
  <c r="E7" i="3"/>
  <c r="D7" i="3"/>
  <c r="C7" i="3"/>
  <c r="B7" i="3"/>
  <c r="A7" i="3"/>
  <c r="G6" i="3"/>
  <c r="F6" i="3"/>
  <c r="E6" i="3"/>
  <c r="D6" i="3"/>
  <c r="C6" i="3"/>
  <c r="B6" i="3"/>
  <c r="A6" i="3"/>
  <c r="G5" i="3"/>
  <c r="F5" i="3"/>
  <c r="E5" i="3"/>
  <c r="D5" i="3"/>
  <c r="C5" i="3"/>
  <c r="B5" i="3"/>
  <c r="A5" i="3"/>
  <c r="G4" i="3"/>
  <c r="F4" i="3"/>
  <c r="E4" i="3"/>
  <c r="D4" i="3"/>
  <c r="C4" i="3"/>
  <c r="B4" i="3"/>
  <c r="A4" i="3"/>
  <c r="G3" i="3"/>
  <c r="F3" i="3"/>
  <c r="E3" i="3"/>
  <c r="D3" i="3"/>
  <c r="C3" i="3"/>
  <c r="B3" i="3"/>
  <c r="A3" i="3"/>
  <c r="A1" i="3"/>
  <c r="G14" i="2"/>
  <c r="F14" i="2"/>
  <c r="E14" i="2"/>
  <c r="D14" i="2"/>
  <c r="C14" i="2"/>
  <c r="B14" i="2"/>
  <c r="A14" i="2"/>
  <c r="G13" i="2"/>
  <c r="F13" i="2"/>
  <c r="E13" i="2"/>
  <c r="D13" i="2"/>
  <c r="C13" i="2"/>
  <c r="B13" i="2"/>
  <c r="A13" i="2"/>
  <c r="G12" i="2"/>
  <c r="F12" i="2"/>
  <c r="E12" i="2"/>
  <c r="D12" i="2"/>
  <c r="C12" i="2"/>
  <c r="B12" i="2"/>
  <c r="A12" i="2"/>
  <c r="G11" i="2"/>
  <c r="F11" i="2"/>
  <c r="E11" i="2"/>
  <c r="D11" i="2"/>
  <c r="C11" i="2"/>
  <c r="B11" i="2"/>
  <c r="A11" i="2"/>
  <c r="G10" i="2"/>
  <c r="F10" i="2"/>
  <c r="E10" i="2"/>
  <c r="D10" i="2"/>
  <c r="C10" i="2"/>
  <c r="B10" i="2"/>
  <c r="A10" i="2"/>
  <c r="G9" i="2"/>
  <c r="F9" i="2"/>
  <c r="E9" i="2"/>
  <c r="D9" i="2"/>
  <c r="C9" i="2"/>
  <c r="B9" i="2"/>
  <c r="A9" i="2"/>
  <c r="G8" i="2"/>
  <c r="F8" i="2"/>
  <c r="E8" i="2"/>
  <c r="D8" i="2"/>
  <c r="C8" i="2"/>
  <c r="B8" i="2"/>
  <c r="A8" i="2"/>
  <c r="G7" i="2"/>
  <c r="F7" i="2"/>
  <c r="E7" i="2"/>
  <c r="D7" i="2"/>
  <c r="C7" i="2"/>
  <c r="B7" i="2"/>
  <c r="A7" i="2"/>
  <c r="G6" i="2"/>
  <c r="F6" i="2"/>
  <c r="E6" i="2"/>
  <c r="D6" i="2"/>
  <c r="C6" i="2"/>
  <c r="B6" i="2"/>
  <c r="A6" i="2"/>
  <c r="G5" i="2"/>
  <c r="F5" i="2"/>
  <c r="E5" i="2"/>
  <c r="D5" i="2"/>
  <c r="C5" i="2"/>
  <c r="B5" i="2"/>
  <c r="A5" i="2"/>
  <c r="G4" i="2"/>
  <c r="F4" i="2"/>
  <c r="E4" i="2"/>
  <c r="D4" i="2"/>
  <c r="C4" i="2"/>
  <c r="B4" i="2"/>
  <c r="A4" i="2"/>
  <c r="G3" i="2"/>
  <c r="F3" i="2"/>
  <c r="E3" i="2"/>
  <c r="D3" i="2"/>
  <c r="C3" i="2"/>
  <c r="B3" i="2"/>
  <c r="A3" i="2"/>
  <c r="A1" i="2"/>
  <c r="AE30" i="1"/>
  <c r="AD30" i="1"/>
  <c r="AC30" i="1"/>
  <c r="AB30" i="1"/>
  <c r="AA30" i="1"/>
  <c r="Z30" i="1"/>
  <c r="Y30" i="1"/>
  <c r="W30" i="1"/>
  <c r="V30" i="1"/>
  <c r="U30" i="1"/>
  <c r="T30" i="1"/>
  <c r="S30" i="1"/>
  <c r="R30" i="1"/>
  <c r="Q30" i="1"/>
  <c r="O30" i="1"/>
  <c r="N30" i="1"/>
  <c r="M30" i="1"/>
  <c r="L30" i="1"/>
  <c r="K30" i="1"/>
  <c r="J30" i="1"/>
  <c r="I30" i="1"/>
  <c r="G30" i="1"/>
  <c r="F30" i="1"/>
  <c r="E30" i="1"/>
  <c r="D30" i="1"/>
  <c r="C30" i="1"/>
  <c r="B30" i="1"/>
  <c r="A30" i="1"/>
  <c r="AE29" i="1"/>
  <c r="AD29" i="1"/>
  <c r="AC29" i="1"/>
  <c r="AB29" i="1"/>
  <c r="AA29" i="1"/>
  <c r="Z29" i="1"/>
  <c r="Y29" i="1"/>
  <c r="W29" i="1"/>
  <c r="V29" i="1"/>
  <c r="U29" i="1"/>
  <c r="T29" i="1"/>
  <c r="S29" i="1"/>
  <c r="R29" i="1"/>
  <c r="Q29" i="1"/>
  <c r="O29" i="1"/>
  <c r="N29" i="1"/>
  <c r="M29" i="1"/>
  <c r="L29" i="1"/>
  <c r="K29" i="1"/>
  <c r="J29" i="1"/>
  <c r="I29" i="1"/>
  <c r="G29" i="1"/>
  <c r="F29" i="1"/>
  <c r="E29" i="1"/>
  <c r="D29" i="1"/>
  <c r="C29" i="1"/>
  <c r="B29" i="1"/>
  <c r="A29" i="1"/>
  <c r="AE28" i="1"/>
  <c r="AD28" i="1"/>
  <c r="AC28" i="1"/>
  <c r="AB28" i="1"/>
  <c r="AA28" i="1"/>
  <c r="Z28" i="1"/>
  <c r="Y28" i="1"/>
  <c r="W28" i="1"/>
  <c r="V28" i="1"/>
  <c r="U28" i="1"/>
  <c r="T28" i="1"/>
  <c r="S28" i="1"/>
  <c r="R28" i="1"/>
  <c r="Q28" i="1"/>
  <c r="O28" i="1"/>
  <c r="N28" i="1"/>
  <c r="M28" i="1"/>
  <c r="L28" i="1"/>
  <c r="K28" i="1"/>
  <c r="J28" i="1"/>
  <c r="I28" i="1"/>
  <c r="G28" i="1"/>
  <c r="F28" i="1"/>
  <c r="E28" i="1"/>
  <c r="D28" i="1"/>
  <c r="C28" i="1"/>
  <c r="B28" i="1"/>
  <c r="A28" i="1"/>
  <c r="AE27" i="1"/>
  <c r="AD27" i="1"/>
  <c r="AC27" i="1"/>
  <c r="AB27" i="1"/>
  <c r="AA27" i="1"/>
  <c r="Z27" i="1"/>
  <c r="Y27" i="1"/>
  <c r="W27" i="1"/>
  <c r="V27" i="1"/>
  <c r="U27" i="1"/>
  <c r="T27" i="1"/>
  <c r="S27" i="1"/>
  <c r="R27" i="1"/>
  <c r="Q27" i="1"/>
  <c r="O27" i="1"/>
  <c r="N27" i="1"/>
  <c r="M27" i="1"/>
  <c r="L27" i="1"/>
  <c r="K27" i="1"/>
  <c r="J27" i="1"/>
  <c r="I27" i="1"/>
  <c r="G27" i="1"/>
  <c r="F27" i="1"/>
  <c r="E27" i="1"/>
  <c r="D27" i="1"/>
  <c r="C27" i="1"/>
  <c r="B27" i="1"/>
  <c r="A27" i="1"/>
  <c r="AE26" i="1"/>
  <c r="AD26" i="1"/>
  <c r="AC26" i="1"/>
  <c r="AB26" i="1"/>
  <c r="AA26" i="1"/>
  <c r="Z26" i="1"/>
  <c r="Y26" i="1"/>
  <c r="W26" i="1"/>
  <c r="V26" i="1"/>
  <c r="U26" i="1"/>
  <c r="T26" i="1"/>
  <c r="S26" i="1"/>
  <c r="R26" i="1"/>
  <c r="Q26" i="1"/>
  <c r="O26" i="1"/>
  <c r="N26" i="1"/>
  <c r="M26" i="1"/>
  <c r="L26" i="1"/>
  <c r="K26" i="1"/>
  <c r="J26" i="1"/>
  <c r="I26" i="1"/>
  <c r="G26" i="1"/>
  <c r="F26" i="1"/>
  <c r="E26" i="1"/>
  <c r="D26" i="1"/>
  <c r="C26" i="1"/>
  <c r="B26" i="1"/>
  <c r="A26" i="1"/>
  <c r="AE25" i="1"/>
  <c r="AD25" i="1"/>
  <c r="AC25" i="1"/>
  <c r="AB25" i="1"/>
  <c r="AA25" i="1"/>
  <c r="Z25" i="1"/>
  <c r="Y25" i="1"/>
  <c r="W25" i="1"/>
  <c r="V25" i="1"/>
  <c r="U25" i="1"/>
  <c r="T25" i="1"/>
  <c r="S25" i="1"/>
  <c r="R25" i="1"/>
  <c r="Q25" i="1"/>
  <c r="O25" i="1"/>
  <c r="N25" i="1"/>
  <c r="M25" i="1"/>
  <c r="L25" i="1"/>
  <c r="K25" i="1"/>
  <c r="J25" i="1"/>
  <c r="I25" i="1"/>
  <c r="G25" i="1"/>
  <c r="F25" i="1"/>
  <c r="E25" i="1"/>
  <c r="D25" i="1"/>
  <c r="C25" i="1"/>
  <c r="B25" i="1"/>
  <c r="A25" i="1"/>
  <c r="AE20" i="1"/>
  <c r="AD20" i="1"/>
  <c r="AC20" i="1"/>
  <c r="AB20" i="1"/>
  <c r="AA20" i="1"/>
  <c r="Z20" i="1"/>
  <c r="Y20" i="1"/>
  <c r="W20" i="1"/>
  <c r="V20" i="1"/>
  <c r="U20" i="1"/>
  <c r="T20" i="1"/>
  <c r="S20" i="1"/>
  <c r="R20" i="1"/>
  <c r="Q20" i="1"/>
  <c r="O20" i="1"/>
  <c r="N20" i="1"/>
  <c r="M20" i="1"/>
  <c r="L20" i="1"/>
  <c r="K20" i="1"/>
  <c r="J20" i="1"/>
  <c r="I20" i="1"/>
  <c r="G20" i="1"/>
  <c r="F20" i="1"/>
  <c r="E20" i="1"/>
  <c r="D20" i="1"/>
  <c r="C20" i="1"/>
  <c r="B20" i="1"/>
  <c r="A20" i="1"/>
  <c r="AE19" i="1"/>
  <c r="AD19" i="1"/>
  <c r="AC19" i="1"/>
  <c r="AB19" i="1"/>
  <c r="AA19" i="1"/>
  <c r="Z19" i="1"/>
  <c r="Y19" i="1"/>
  <c r="W19" i="1"/>
  <c r="V19" i="1"/>
  <c r="U19" i="1"/>
  <c r="T19" i="1"/>
  <c r="S19" i="1"/>
  <c r="R19" i="1"/>
  <c r="Q19" i="1"/>
  <c r="O19" i="1"/>
  <c r="N19" i="1"/>
  <c r="M19" i="1"/>
  <c r="L19" i="1"/>
  <c r="K19" i="1"/>
  <c r="J19" i="1"/>
  <c r="I19" i="1"/>
  <c r="G19" i="1"/>
  <c r="F19" i="1"/>
  <c r="E19" i="1"/>
  <c r="D19" i="1"/>
  <c r="C19" i="1"/>
  <c r="B19" i="1"/>
  <c r="A19" i="1"/>
  <c r="AE18" i="1"/>
  <c r="AD18" i="1"/>
  <c r="AC18" i="1"/>
  <c r="AB18" i="1"/>
  <c r="AA18" i="1"/>
  <c r="Z18" i="1"/>
  <c r="Y18" i="1"/>
  <c r="W18" i="1"/>
  <c r="V18" i="1"/>
  <c r="U18" i="1"/>
  <c r="T18" i="1"/>
  <c r="S18" i="1"/>
  <c r="R18" i="1"/>
  <c r="Q18" i="1"/>
  <c r="O18" i="1"/>
  <c r="N18" i="1"/>
  <c r="M18" i="1"/>
  <c r="L18" i="1"/>
  <c r="K18" i="1"/>
  <c r="J18" i="1"/>
  <c r="I18" i="1"/>
  <c r="G18" i="1"/>
  <c r="F18" i="1"/>
  <c r="E18" i="1"/>
  <c r="D18" i="1"/>
  <c r="C18" i="1"/>
  <c r="B18" i="1"/>
  <c r="A18" i="1"/>
  <c r="AE17" i="1"/>
  <c r="AD17" i="1"/>
  <c r="AC17" i="1"/>
  <c r="AB17" i="1"/>
  <c r="AA17" i="1"/>
  <c r="Z17" i="1"/>
  <c r="Y17" i="1"/>
  <c r="W17" i="1"/>
  <c r="V17" i="1"/>
  <c r="U17" i="1"/>
  <c r="T17" i="1"/>
  <c r="S17" i="1"/>
  <c r="R17" i="1"/>
  <c r="Q17" i="1"/>
  <c r="O17" i="1"/>
  <c r="N17" i="1"/>
  <c r="M17" i="1"/>
  <c r="L17" i="1"/>
  <c r="K17" i="1"/>
  <c r="J17" i="1"/>
  <c r="I17" i="1"/>
  <c r="G17" i="1"/>
  <c r="F17" i="1"/>
  <c r="E17" i="1"/>
  <c r="D17" i="1"/>
  <c r="C17" i="1"/>
  <c r="B17" i="1"/>
  <c r="A17" i="1"/>
  <c r="AE16" i="1"/>
  <c r="AD16" i="1"/>
  <c r="AC16" i="1"/>
  <c r="AB16" i="1"/>
  <c r="AA16" i="1"/>
  <c r="Z16" i="1"/>
  <c r="Y16" i="1"/>
  <c r="W16" i="1"/>
  <c r="V16" i="1"/>
  <c r="U16" i="1"/>
  <c r="T16" i="1"/>
  <c r="S16" i="1"/>
  <c r="R16" i="1"/>
  <c r="Q16" i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A16" i="1"/>
  <c r="AE15" i="1"/>
  <c r="AD15" i="1"/>
  <c r="AC15" i="1"/>
  <c r="AB15" i="1"/>
  <c r="AA15" i="1"/>
  <c r="Z15" i="1"/>
  <c r="Y15" i="1"/>
  <c r="W15" i="1"/>
  <c r="V15" i="1"/>
  <c r="U15" i="1"/>
  <c r="T15" i="1"/>
  <c r="S15" i="1"/>
  <c r="R15" i="1"/>
  <c r="Q15" i="1"/>
  <c r="O15" i="1"/>
  <c r="N15" i="1"/>
  <c r="M15" i="1"/>
  <c r="L15" i="1"/>
  <c r="K15" i="1"/>
  <c r="J15" i="1"/>
  <c r="I15" i="1"/>
  <c r="G15" i="1"/>
  <c r="F15" i="1"/>
  <c r="E15" i="1"/>
  <c r="D15" i="1"/>
  <c r="C15" i="1"/>
  <c r="B15" i="1"/>
  <c r="A15" i="1"/>
  <c r="AE10" i="1"/>
  <c r="AD10" i="1"/>
  <c r="AC10" i="1"/>
  <c r="AB10" i="1"/>
  <c r="AA10" i="1"/>
  <c r="Z10" i="1"/>
  <c r="Y10" i="1"/>
  <c r="W10" i="1"/>
  <c r="V10" i="1"/>
  <c r="U10" i="1"/>
  <c r="T10" i="1"/>
  <c r="S10" i="1"/>
  <c r="R10" i="1"/>
  <c r="Q10" i="1"/>
  <c r="O10" i="1"/>
  <c r="N10" i="1"/>
  <c r="M10" i="1"/>
  <c r="L10" i="1"/>
  <c r="K10" i="1"/>
  <c r="J10" i="1"/>
  <c r="I10" i="1"/>
  <c r="G10" i="1"/>
  <c r="F10" i="1"/>
  <c r="E10" i="1"/>
  <c r="D10" i="1"/>
  <c r="C10" i="1"/>
  <c r="B10" i="1"/>
  <c r="A10" i="1"/>
  <c r="AE9" i="1"/>
  <c r="AD9" i="1"/>
  <c r="AC9" i="1"/>
  <c r="AB9" i="1"/>
  <c r="AA9" i="1"/>
  <c r="Z9" i="1"/>
  <c r="Y9" i="1"/>
  <c r="W9" i="1"/>
  <c r="V9" i="1"/>
  <c r="U9" i="1"/>
  <c r="T9" i="1"/>
  <c r="S9" i="1"/>
  <c r="R9" i="1"/>
  <c r="Q9" i="1"/>
  <c r="O9" i="1"/>
  <c r="N9" i="1"/>
  <c r="M9" i="1"/>
  <c r="L9" i="1"/>
  <c r="K9" i="1"/>
  <c r="J9" i="1"/>
  <c r="I9" i="1"/>
  <c r="G9" i="1"/>
  <c r="F9" i="1"/>
  <c r="E9" i="1"/>
  <c r="D9" i="1"/>
  <c r="C9" i="1"/>
  <c r="B9" i="1"/>
  <c r="A9" i="1"/>
  <c r="AE8" i="1"/>
  <c r="AD8" i="1"/>
  <c r="AC8" i="1"/>
  <c r="AB8" i="1"/>
  <c r="AA8" i="1"/>
  <c r="Z8" i="1"/>
  <c r="Y8" i="1"/>
  <c r="W8" i="1"/>
  <c r="V8" i="1"/>
  <c r="U8" i="1"/>
  <c r="T8" i="1"/>
  <c r="S8" i="1"/>
  <c r="R8" i="1"/>
  <c r="Q8" i="1"/>
  <c r="O8" i="1"/>
  <c r="N8" i="1"/>
  <c r="M8" i="1"/>
  <c r="L8" i="1"/>
  <c r="K8" i="1"/>
  <c r="J8" i="1"/>
  <c r="I8" i="1"/>
  <c r="G8" i="1"/>
  <c r="F8" i="1"/>
  <c r="E8" i="1"/>
  <c r="D8" i="1"/>
  <c r="C8" i="1"/>
  <c r="B8" i="1"/>
  <c r="A8" i="1"/>
  <c r="AE7" i="1"/>
  <c r="AD7" i="1"/>
  <c r="AC7" i="1"/>
  <c r="AB7" i="1"/>
  <c r="AA7" i="1"/>
  <c r="Z7" i="1"/>
  <c r="Y7" i="1"/>
  <c r="W7" i="1"/>
  <c r="V7" i="1"/>
  <c r="U7" i="1"/>
  <c r="T7" i="1"/>
  <c r="S7" i="1"/>
  <c r="R7" i="1"/>
  <c r="Q7" i="1"/>
  <c r="O7" i="1"/>
  <c r="N7" i="1"/>
  <c r="M7" i="1"/>
  <c r="L7" i="1"/>
  <c r="K7" i="1"/>
  <c r="J7" i="1"/>
  <c r="I7" i="1"/>
  <c r="G7" i="1"/>
  <c r="F7" i="1"/>
  <c r="E7" i="1"/>
  <c r="D7" i="1"/>
  <c r="C7" i="1"/>
  <c r="B7" i="1"/>
  <c r="A7" i="1"/>
  <c r="AE6" i="1"/>
  <c r="AD6" i="1"/>
  <c r="AC6" i="1"/>
  <c r="AB6" i="1"/>
  <c r="AA6" i="1"/>
  <c r="Z6" i="1"/>
  <c r="Y6" i="1"/>
  <c r="W6" i="1"/>
  <c r="V6" i="1"/>
  <c r="U6" i="1"/>
  <c r="T6" i="1"/>
  <c r="S6" i="1"/>
  <c r="R6" i="1"/>
  <c r="Q6" i="1"/>
  <c r="O6" i="1"/>
  <c r="N6" i="1"/>
  <c r="M6" i="1"/>
  <c r="L6" i="1"/>
  <c r="K6" i="1"/>
  <c r="J6" i="1"/>
  <c r="I6" i="1"/>
  <c r="G6" i="1"/>
  <c r="F6" i="1"/>
  <c r="E6" i="1"/>
  <c r="D6" i="1"/>
  <c r="C6" i="1"/>
  <c r="B6" i="1"/>
  <c r="A6" i="1"/>
  <c r="AE5" i="1"/>
  <c r="AD5" i="1"/>
  <c r="AC5" i="1"/>
  <c r="AB5" i="1"/>
  <c r="AA5" i="1"/>
  <c r="Z5" i="1"/>
  <c r="Y5" i="1"/>
  <c r="W5" i="1"/>
  <c r="V5" i="1"/>
  <c r="U5" i="1"/>
  <c r="T5" i="1"/>
  <c r="S5" i="1"/>
  <c r="R5" i="1"/>
  <c r="Q5" i="1"/>
  <c r="O5" i="1"/>
  <c r="N5" i="1"/>
  <c r="M5" i="1"/>
  <c r="L5" i="1"/>
  <c r="K5" i="1"/>
  <c r="J5" i="1"/>
  <c r="I5" i="1"/>
  <c r="G5" i="1"/>
  <c r="F5" i="1"/>
  <c r="E5" i="1"/>
  <c r="D5" i="1"/>
  <c r="C5" i="1"/>
  <c r="B5" i="1"/>
  <c r="A5" i="1"/>
  <c r="J1" i="1"/>
</calcChain>
</file>

<file path=xl/sharedStrings.xml><?xml version="1.0" encoding="utf-8"?>
<sst xmlns="http://schemas.openxmlformats.org/spreadsheetml/2006/main" count="220" uniqueCount="42">
  <si>
    <t>年:</t>
  </si>
  <si>
    <t>←年を入れると全シートが変わります</t>
  </si>
  <si>
    <t>1月</t>
  </si>
  <si>
    <t>2月</t>
  </si>
  <si>
    <t>3月</t>
  </si>
  <si>
    <t>4月</t>
  </si>
  <si>
    <t>日</t>
  </si>
  <si>
    <t>月</t>
  </si>
  <si>
    <t>火</t>
  </si>
  <si>
    <t>水</t>
  </si>
  <si>
    <t>木</t>
  </si>
  <si>
    <t>金</t>
  </si>
  <si>
    <t>土</t>
  </si>
  <si>
    <t>5月</t>
  </si>
  <si>
    <t>6月</t>
  </si>
  <si>
    <t>7月</t>
  </si>
  <si>
    <t>8月</t>
  </si>
  <si>
    <t>9月</t>
  </si>
  <si>
    <t>10月</t>
  </si>
  <si>
    <t>11月</t>
  </si>
  <si>
    <t>12月</t>
  </si>
  <si>
    <t>日付</t>
  </si>
  <si>
    <t>祝日名</t>
  </si>
  <si>
    <t>※2028年以降の祝日は、内閣府の発表後にこの表の下に日付と名前を追加すると、カレンダーに反映されます。</t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</si>
  <si>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</si>
  <si>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</si>
  <si>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</si>
  <si>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</si>
  <si>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</si>
  <si>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</si>
  <si>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</si>
  <si>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</si>
  <si>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</si>
  <si>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振替休日</t>
  </si>
  <si>
    <t>海の日</t>
  </si>
  <si>
    <t>山の日</t>
  </si>
  <si>
    <t>敬老の日</t>
  </si>
  <si>
    <t>国民の休日</t>
  </si>
  <si>
    <t>秋分の日</t>
  </si>
  <si>
    <t>スポーツの日</t>
  </si>
  <si>
    <t>文化の日</t>
  </si>
  <si>
    <t>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</si>
</sst>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/m/d\(aaa\)"/>
  </numFmts>
  <fonts count="18" x14ac:knownFonts="1">
    <font>
      <sz val="11"/>
      <color theme="1"/>
      <name val="ＭＳ Ｐゴシック"/>
      <family val="2"/>
      <scheme val="minor"/>
    </font>
    <font>
      <b/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sz val="7"/>
      <color rgb="FF999999"/>
      <name val="游ゴシック"/>
      <family val="3"/>
      <charset val="128"/>
    </font>
    <font>
      <b/>
      <sz val="20"/>
      <color rgb="FF0F6B7A"/>
      <name val="游ゴシック"/>
      <family val="3"/>
      <charset val="128"/>
    </font>
    <font>
      <b/>
      <sz val="12"/>
      <color rgb="FF0F6B7A"/>
      <name val="游ゴシック"/>
      <family val="3"/>
      <charset val="128"/>
    </font>
    <font>
      <b/>
      <sz val="8"/>
      <color rgb="FFC62828"/>
      <name val="游ゴシック"/>
      <family val="3"/>
      <charset val="128"/>
    </font>
    <font>
      <b/>
      <sz val="8"/>
      <color rgb="FF333333"/>
      <name val="游ゴシック"/>
      <family val="3"/>
      <charset val="128"/>
    </font>
    <font>
      <b/>
      <sz val="8"/>
      <color rgb="FF1E5AA8"/>
      <name val="游ゴシック"/>
      <family val="3"/>
      <charset val="128"/>
    </font>
    <font>
      <sz val="9"/>
      <color rgb="FF333333"/>
      <name val="游ゴシック"/>
      <family val="3"/>
      <charset val="128"/>
    </font>
    <font>
      <b/>
      <sz val="26"/>
      <color rgb="FF0F6B7A"/>
      <name val="游ゴシック"/>
      <family val="3"/>
      <charset val="128"/>
    </font>
    <font>
      <b/>
      <sz val="12"/>
      <color rgb="FFC62828"/>
      <name val="游ゴシック"/>
      <family val="3"/>
      <charset val="128"/>
    </font>
    <font>
      <b/>
      <sz val="12"/>
      <color rgb="FF333333"/>
      <name val="游ゴシック"/>
      <family val="3"/>
      <charset val="128"/>
    </font>
    <font>
      <b/>
      <sz val="12"/>
      <color rgb="FF1E5AA8"/>
      <name val="游ゴシック"/>
      <family val="3"/>
      <charset val="128"/>
    </font>
    <font>
      <b/>
      <sz val="16"/>
      <color rgb="FF333333"/>
      <name val="游ゴシック"/>
      <family val="3"/>
      <charset val="128"/>
    </font>
    <font>
      <sz val="9"/>
      <color rgb="FFC62828"/>
      <name val="游ゴシック"/>
      <family val="3"/>
      <charset val="128"/>
    </font>
    <font>
      <b/>
      <sz val="11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6CC"/>
      </patternFill>
    </fill>
    <fill>
      <patternFill patternType="solid">
        <fgColor rgb="FFE3F1F3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top" indent="1"/>
    </xf>
    <xf numFmtId="0" fontId="15" fillId="0" borderId="3" xfId="0" applyFont="1" applyBorder="1" applyAlignment="1">
      <alignment horizontal="left" vertical="top" wrapText="1" indent="1"/>
    </xf>
    <xf numFmtId="0" fontId="16" fillId="3" borderId="0" xfId="0" applyFont="1" applyFill="1"/>
    <xf numFmtId="177" fontId="0" fillId="0" borderId="0" xfId="0" applyNumberFormat="1"/>
    <xf numFmtId="0" fontId="5" fillId="0" borderId="0" xfId="0" applyFont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120"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C62828"/>
      </font>
    </dxf>
    <dxf>
      <font>
        <b/>
        <color rgb="FF1E5AA8"/>
      </font>
    </dxf>
    <dxf>
      <font>
        <b/>
        <color rgb="FF1E5AA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1E5AA8"/>
      </font>
    </dxf>
    <dxf>
      <font>
        <b/>
        <color rgb="FF1E5AA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1E5AA8"/>
      </font>
    </dxf>
    <dxf>
      <font>
        <b/>
        <color rgb="FFC62828"/>
      </font>
    </dxf>
    <dxf>
      <font>
        <b/>
        <color rgb="FFC62828"/>
      </font>
    </dxf>
    <dxf>
      <font>
        <b/>
        <color rgb="FF1E5AA8"/>
      </font>
    </dxf>
    <dxf>
      <font>
        <b/>
        <color rgb="FF1E5AA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  <dxf>
      <font>
        <b/>
        <color rgb="FFC62828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0"/>
  <sheetViews>
    <sheetView showGridLines="0" tabSelected="1" workbookViewId="0">
      <selection sqref="A1:B1"/>
    </sheetView>
  </sheetViews>
  <sheetFormatPr defaultRowHeight="13" x14ac:dyDescent="0.2"/>
  <cols>
    <col min="1" max="7" width="3.6328125" customWidth="1"/>
    <col min="8" max="8" width="1.453125" customWidth="1"/>
    <col min="9" max="15" width="3.6328125" customWidth="1"/>
    <col min="16" max="16" width="1.453125" customWidth="1"/>
    <col min="17" max="23" width="3.6328125" customWidth="1"/>
    <col min="24" max="24" width="1.453125" customWidth="1"/>
    <col min="25" max="31" width="3.6328125" customWidth="1"/>
    <col min="32" max="32" width="1.453125" customWidth="1"/>
  </cols>
  <sheetData>
    <row r="1" spans="1:31" ht="34" customHeight="1" x14ac:dyDescent="0.95">
      <c r="A1" s="17" t="s">
        <v>0</v>
      </c>
      <c r="B1" s="14"/>
      <c r="C1" s="15">
        <v>2027</v>
      </c>
      <c r="D1" s="14"/>
      <c r="E1" s="14"/>
      <c r="F1" s="1" t="s">
        <v>1</v>
      </c>
      <c r="J1" s="16" t="str">
        <f>C1&amp;"年 カレンダー"</f>
        <v>2027年 カレンダー</v>
      </c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3" spans="1:31" ht="20" x14ac:dyDescent="0.6">
      <c r="A3" s="13" t="s">
        <v>2</v>
      </c>
      <c r="B3" s="14"/>
      <c r="C3" s="14"/>
      <c r="D3" s="14"/>
      <c r="E3" s="14"/>
      <c r="F3" s="14"/>
      <c r="G3" s="14"/>
      <c r="I3" s="13" t="s">
        <v>3</v>
      </c>
      <c r="J3" s="14"/>
      <c r="K3" s="14"/>
      <c r="L3" s="14"/>
      <c r="M3" s="14"/>
      <c r="N3" s="14"/>
      <c r="O3" s="14"/>
      <c r="Q3" s="13" t="s">
        <v>4</v>
      </c>
      <c r="R3" s="14"/>
      <c r="S3" s="14"/>
      <c r="T3" s="14"/>
      <c r="U3" s="14"/>
      <c r="V3" s="14"/>
      <c r="W3" s="14"/>
      <c r="Y3" s="13" t="s">
        <v>5</v>
      </c>
      <c r="Z3" s="14"/>
      <c r="AA3" s="14"/>
      <c r="AB3" s="14"/>
      <c r="AC3" s="14"/>
      <c r="AD3" s="14"/>
      <c r="AE3" s="14"/>
    </row>
    <row r="4" spans="1:31" ht="15" x14ac:dyDescent="0.4">
      <c r="A4" s="2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4" t="s">
        <v>12</v>
      </c>
      <c r="I4" s="2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4" t="s">
        <v>12</v>
      </c>
      <c r="Q4" s="2" t="s">
        <v>6</v>
      </c>
      <c r="R4" s="3" t="s">
        <v>7</v>
      </c>
      <c r="S4" s="3" t="s">
        <v>8</v>
      </c>
      <c r="T4" s="3" t="s">
        <v>9</v>
      </c>
      <c r="U4" s="3" t="s">
        <v>10</v>
      </c>
      <c r="V4" s="3" t="s">
        <v>11</v>
      </c>
      <c r="W4" s="4" t="s">
        <v>12</v>
      </c>
      <c r="Y4" s="2" t="s">
        <v>6</v>
      </c>
      <c r="Z4" s="3" t="s">
        <v>7</v>
      </c>
      <c r="AA4" s="3" t="s">
        <v>8</v>
      </c>
      <c r="AB4" s="3" t="s">
        <v>9</v>
      </c>
      <c r="AC4" s="3" t="s">
        <v>10</v>
      </c>
      <c r="AD4" s="3" t="s">
        <v>11</v>
      </c>
      <c r="AE4" s="4" t="s">
        <v>12</v>
      </c>
    </row>
    <row r="5" spans="1:31" ht="15.5" x14ac:dyDescent="0.45">
      <c r="A5" s="5" t="str">
        <f>IF(MONTH((DATE($C$1,1,1)-WEEKDAY(DATE($C$1,1,1))+1))=1,DAY((DATE($C$1,1,1)-WEEKDAY(DATE($C$1,1,1))+1)),"")</f>
        <v/>
      </c>
      <c r="B5" s="5" t="str">
        <f>IF(MONTH((DATE($C$1,1,1)-WEEKDAY(DATE($C$1,1,1))+2))=1,DAY((DATE($C$1,1,1)-WEEKDAY(DATE($C$1,1,1))+2)),"")</f>
        <v/>
      </c>
      <c r="C5" s="5" t="str">
        <f>IF(MONTH((DATE($C$1,1,1)-WEEKDAY(DATE($C$1,1,1))+3))=1,DAY((DATE($C$1,1,1)-WEEKDAY(DATE($C$1,1,1))+3)),"")</f>
        <v/>
      </c>
      <c r="D5" s="5" t="str">
        <f>IF(MONTH((DATE($C$1,1,1)-WEEKDAY(DATE($C$1,1,1))+4))=1,DAY((DATE($C$1,1,1)-WEEKDAY(DATE($C$1,1,1))+4)),"")</f>
        <v/>
      </c>
      <c r="E5" s="5" t="str">
        <f>IF(MONTH((DATE($C$1,1,1)-WEEKDAY(DATE($C$1,1,1))+5))=1,DAY((DATE($C$1,1,1)-WEEKDAY(DATE($C$1,1,1))+5)),"")</f>
        <v/>
      </c>
      <c r="F5" s="5">
        <f>IF(MONTH((DATE($C$1,1,1)-WEEKDAY(DATE($C$1,1,1))+6))=1,DAY((DATE($C$1,1,1)-WEEKDAY(DATE($C$1,1,1))+6)),"")</f>
        <v>1</v>
      </c>
      <c r="G5" s="5">
        <f>IF(MONTH((DATE($C$1,1,1)-WEEKDAY(DATE($C$1,1,1))+7))=1,DAY((DATE($C$1,1,1)-WEEKDAY(DATE($C$1,1,1))+7)),"")</f>
        <v>2</v>
      </c>
      <c r="I5" s="5" t="str">
        <f>IF(MONTH((DATE($C$1,2,1)-WEEKDAY(DATE($C$1,2,1))+1))=2,DAY((DATE($C$1,2,1)-WEEKDAY(DATE($C$1,2,1))+1)),"")</f>
        <v/>
      </c>
      <c r="J5" s="5">
        <f>IF(MONTH((DATE($C$1,2,1)-WEEKDAY(DATE($C$1,2,1))+2))=2,DAY((DATE($C$1,2,1)-WEEKDAY(DATE($C$1,2,1))+2)),"")</f>
        <v>1</v>
      </c>
      <c r="K5" s="5">
        <f>IF(MONTH((DATE($C$1,2,1)-WEEKDAY(DATE($C$1,2,1))+3))=2,DAY((DATE($C$1,2,1)-WEEKDAY(DATE($C$1,2,1))+3)),"")</f>
        <v>2</v>
      </c>
      <c r="L5" s="5">
        <f>IF(MONTH((DATE($C$1,2,1)-WEEKDAY(DATE($C$1,2,1))+4))=2,DAY((DATE($C$1,2,1)-WEEKDAY(DATE($C$1,2,1))+4)),"")</f>
        <v>3</v>
      </c>
      <c r="M5" s="5">
        <f>IF(MONTH((DATE($C$1,2,1)-WEEKDAY(DATE($C$1,2,1))+5))=2,DAY((DATE($C$1,2,1)-WEEKDAY(DATE($C$1,2,1))+5)),"")</f>
        <v>4</v>
      </c>
      <c r="N5" s="5">
        <f>IF(MONTH((DATE($C$1,2,1)-WEEKDAY(DATE($C$1,2,1))+6))=2,DAY((DATE($C$1,2,1)-WEEKDAY(DATE($C$1,2,1))+6)),"")</f>
        <v>5</v>
      </c>
      <c r="O5" s="5">
        <f>IF(MONTH((DATE($C$1,2,1)-WEEKDAY(DATE($C$1,2,1))+7))=2,DAY((DATE($C$1,2,1)-WEEKDAY(DATE($C$1,2,1))+7)),"")</f>
        <v>6</v>
      </c>
      <c r="Q5" s="5" t="str">
        <f>IF(MONTH((DATE($C$1,3,1)-WEEKDAY(DATE($C$1,3,1))+1))=3,DAY((DATE($C$1,3,1)-WEEKDAY(DATE($C$1,3,1))+1)),"")</f>
        <v/>
      </c>
      <c r="R5" s="5">
        <f>IF(MONTH((DATE($C$1,3,1)-WEEKDAY(DATE($C$1,3,1))+2))=3,DAY((DATE($C$1,3,1)-WEEKDAY(DATE($C$1,3,1))+2)),"")</f>
        <v>1</v>
      </c>
      <c r="S5" s="5">
        <f>IF(MONTH((DATE($C$1,3,1)-WEEKDAY(DATE($C$1,3,1))+3))=3,DAY((DATE($C$1,3,1)-WEEKDAY(DATE($C$1,3,1))+3)),"")</f>
        <v>2</v>
      </c>
      <c r="T5" s="5">
        <f>IF(MONTH((DATE($C$1,3,1)-WEEKDAY(DATE($C$1,3,1))+4))=3,DAY((DATE($C$1,3,1)-WEEKDAY(DATE($C$1,3,1))+4)),"")</f>
        <v>3</v>
      </c>
      <c r="U5" s="5">
        <f>IF(MONTH((DATE($C$1,3,1)-WEEKDAY(DATE($C$1,3,1))+5))=3,DAY((DATE($C$1,3,1)-WEEKDAY(DATE($C$1,3,1))+5)),"")</f>
        <v>4</v>
      </c>
      <c r="V5" s="5">
        <f>IF(MONTH((DATE($C$1,3,1)-WEEKDAY(DATE($C$1,3,1))+6))=3,DAY((DATE($C$1,3,1)-WEEKDAY(DATE($C$1,3,1))+6)),"")</f>
        <v>5</v>
      </c>
      <c r="W5" s="5">
        <f>IF(MONTH((DATE($C$1,3,1)-WEEKDAY(DATE($C$1,3,1))+7))=3,DAY((DATE($C$1,3,1)-WEEKDAY(DATE($C$1,3,1))+7)),"")</f>
        <v>6</v>
      </c>
      <c r="Y5" s="5" t="str">
        <f>IF(MONTH((DATE($C$1,4,1)-WEEKDAY(DATE($C$1,4,1))+1))=4,DAY((DATE($C$1,4,1)-WEEKDAY(DATE($C$1,4,1))+1)),"")</f>
        <v/>
      </c>
      <c r="Z5" s="5" t="str">
        <f>IF(MONTH((DATE($C$1,4,1)-WEEKDAY(DATE($C$1,4,1))+2))=4,DAY((DATE($C$1,4,1)-WEEKDAY(DATE($C$1,4,1))+2)),"")</f>
        <v/>
      </c>
      <c r="AA5" s="5" t="str">
        <f>IF(MONTH((DATE($C$1,4,1)-WEEKDAY(DATE($C$1,4,1))+3))=4,DAY((DATE($C$1,4,1)-WEEKDAY(DATE($C$1,4,1))+3)),"")</f>
        <v/>
      </c>
      <c r="AB5" s="5" t="str">
        <f>IF(MONTH((DATE($C$1,4,1)-WEEKDAY(DATE($C$1,4,1))+4))=4,DAY((DATE($C$1,4,1)-WEEKDAY(DATE($C$1,4,1))+4)),"")</f>
        <v/>
      </c>
      <c r="AC5" s="5">
        <f>IF(MONTH((DATE($C$1,4,1)-WEEKDAY(DATE($C$1,4,1))+5))=4,DAY((DATE($C$1,4,1)-WEEKDAY(DATE($C$1,4,1))+5)),"")</f>
        <v>1</v>
      </c>
      <c r="AD5" s="5">
        <f>IF(MONTH((DATE($C$1,4,1)-WEEKDAY(DATE($C$1,4,1))+6))=4,DAY((DATE($C$1,4,1)-WEEKDAY(DATE($C$1,4,1))+6)),"")</f>
        <v>2</v>
      </c>
      <c r="AE5" s="5">
        <f>IF(MONTH((DATE($C$1,4,1)-WEEKDAY(DATE($C$1,4,1))+7))=4,DAY((DATE($C$1,4,1)-WEEKDAY(DATE($C$1,4,1))+7)),"")</f>
        <v>3</v>
      </c>
    </row>
    <row r="6" spans="1:31" ht="15.5" x14ac:dyDescent="0.45">
      <c r="A6" s="5">
        <f>IF(MONTH((DATE($C$1,1,1)-WEEKDAY(DATE($C$1,1,1))+8))=1,DAY((DATE($C$1,1,1)-WEEKDAY(DATE($C$1,1,1))+8)),"")</f>
        <v>3</v>
      </c>
      <c r="B6" s="5">
        <f>IF(MONTH((DATE($C$1,1,1)-WEEKDAY(DATE($C$1,1,1))+9))=1,DAY((DATE($C$1,1,1)-WEEKDAY(DATE($C$1,1,1))+9)),"")</f>
        <v>4</v>
      </c>
      <c r="C6" s="5">
        <f>IF(MONTH((DATE($C$1,1,1)-WEEKDAY(DATE($C$1,1,1))+10))=1,DAY((DATE($C$1,1,1)-WEEKDAY(DATE($C$1,1,1))+10)),"")</f>
        <v>5</v>
      </c>
      <c r="D6" s="5">
        <f>IF(MONTH((DATE($C$1,1,1)-WEEKDAY(DATE($C$1,1,1))+11))=1,DAY((DATE($C$1,1,1)-WEEKDAY(DATE($C$1,1,1))+11)),"")</f>
        <v>6</v>
      </c>
      <c r="E6" s="5">
        <f>IF(MONTH((DATE($C$1,1,1)-WEEKDAY(DATE($C$1,1,1))+12))=1,DAY((DATE($C$1,1,1)-WEEKDAY(DATE($C$1,1,1))+12)),"")</f>
        <v>7</v>
      </c>
      <c r="F6" s="5">
        <f>IF(MONTH((DATE($C$1,1,1)-WEEKDAY(DATE($C$1,1,1))+13))=1,DAY((DATE($C$1,1,1)-WEEKDAY(DATE($C$1,1,1))+13)),"")</f>
        <v>8</v>
      </c>
      <c r="G6" s="5">
        <f>IF(MONTH((DATE($C$1,1,1)-WEEKDAY(DATE($C$1,1,1))+14))=1,DAY((DATE($C$1,1,1)-WEEKDAY(DATE($C$1,1,1))+14)),"")</f>
        <v>9</v>
      </c>
      <c r="I6" s="5">
        <f>IF(MONTH((DATE($C$1,2,1)-WEEKDAY(DATE($C$1,2,1))+8))=2,DAY((DATE($C$1,2,1)-WEEKDAY(DATE($C$1,2,1))+8)),"")</f>
        <v>7</v>
      </c>
      <c r="J6" s="5">
        <f>IF(MONTH((DATE($C$1,2,1)-WEEKDAY(DATE($C$1,2,1))+9))=2,DAY((DATE($C$1,2,1)-WEEKDAY(DATE($C$1,2,1))+9)),"")</f>
        <v>8</v>
      </c>
      <c r="K6" s="5">
        <f>IF(MONTH((DATE($C$1,2,1)-WEEKDAY(DATE($C$1,2,1))+10))=2,DAY((DATE($C$1,2,1)-WEEKDAY(DATE($C$1,2,1))+10)),"")</f>
        <v>9</v>
      </c>
      <c r="L6" s="5">
        <f>IF(MONTH((DATE($C$1,2,1)-WEEKDAY(DATE($C$1,2,1))+11))=2,DAY((DATE($C$1,2,1)-WEEKDAY(DATE($C$1,2,1))+11)),"")</f>
        <v>10</v>
      </c>
      <c r="M6" s="5">
        <f>IF(MONTH((DATE($C$1,2,1)-WEEKDAY(DATE($C$1,2,1))+12))=2,DAY((DATE($C$1,2,1)-WEEKDAY(DATE($C$1,2,1))+12)),"")</f>
        <v>11</v>
      </c>
      <c r="N6" s="5">
        <f>IF(MONTH((DATE($C$1,2,1)-WEEKDAY(DATE($C$1,2,1))+13))=2,DAY((DATE($C$1,2,1)-WEEKDAY(DATE($C$1,2,1))+13)),"")</f>
        <v>12</v>
      </c>
      <c r="O6" s="5">
        <f>IF(MONTH((DATE($C$1,2,1)-WEEKDAY(DATE($C$1,2,1))+14))=2,DAY((DATE($C$1,2,1)-WEEKDAY(DATE($C$1,2,1))+14)),"")</f>
        <v>13</v>
      </c>
      <c r="Q6" s="5">
        <f>IF(MONTH((DATE($C$1,3,1)-WEEKDAY(DATE($C$1,3,1))+8))=3,DAY((DATE($C$1,3,1)-WEEKDAY(DATE($C$1,3,1))+8)),"")</f>
        <v>7</v>
      </c>
      <c r="R6" s="5">
        <f>IF(MONTH((DATE($C$1,3,1)-WEEKDAY(DATE($C$1,3,1))+9))=3,DAY((DATE($C$1,3,1)-WEEKDAY(DATE($C$1,3,1))+9)),"")</f>
        <v>8</v>
      </c>
      <c r="S6" s="5">
        <f>IF(MONTH((DATE($C$1,3,1)-WEEKDAY(DATE($C$1,3,1))+10))=3,DAY((DATE($C$1,3,1)-WEEKDAY(DATE($C$1,3,1))+10)),"")</f>
        <v>9</v>
      </c>
      <c r="T6" s="5">
        <f>IF(MONTH((DATE($C$1,3,1)-WEEKDAY(DATE($C$1,3,1))+11))=3,DAY((DATE($C$1,3,1)-WEEKDAY(DATE($C$1,3,1))+11)),"")</f>
        <v>10</v>
      </c>
      <c r="U6" s="5">
        <f>IF(MONTH((DATE($C$1,3,1)-WEEKDAY(DATE($C$1,3,1))+12))=3,DAY((DATE($C$1,3,1)-WEEKDAY(DATE($C$1,3,1))+12)),"")</f>
        <v>11</v>
      </c>
      <c r="V6" s="5">
        <f>IF(MONTH((DATE($C$1,3,1)-WEEKDAY(DATE($C$1,3,1))+13))=3,DAY((DATE($C$1,3,1)-WEEKDAY(DATE($C$1,3,1))+13)),"")</f>
        <v>12</v>
      </c>
      <c r="W6" s="5">
        <f>IF(MONTH((DATE($C$1,3,1)-WEEKDAY(DATE($C$1,3,1))+14))=3,DAY((DATE($C$1,3,1)-WEEKDAY(DATE($C$1,3,1))+14)),"")</f>
        <v>13</v>
      </c>
      <c r="Y6" s="5">
        <f>IF(MONTH((DATE($C$1,4,1)-WEEKDAY(DATE($C$1,4,1))+8))=4,DAY((DATE($C$1,4,1)-WEEKDAY(DATE($C$1,4,1))+8)),"")</f>
        <v>4</v>
      </c>
      <c r="Z6" s="5">
        <f>IF(MONTH((DATE($C$1,4,1)-WEEKDAY(DATE($C$1,4,1))+9))=4,DAY((DATE($C$1,4,1)-WEEKDAY(DATE($C$1,4,1))+9)),"")</f>
        <v>5</v>
      </c>
      <c r="AA6" s="5">
        <f>IF(MONTH((DATE($C$1,4,1)-WEEKDAY(DATE($C$1,4,1))+10))=4,DAY((DATE($C$1,4,1)-WEEKDAY(DATE($C$1,4,1))+10)),"")</f>
        <v>6</v>
      </c>
      <c r="AB6" s="5">
        <f>IF(MONTH((DATE($C$1,4,1)-WEEKDAY(DATE($C$1,4,1))+11))=4,DAY((DATE($C$1,4,1)-WEEKDAY(DATE($C$1,4,1))+11)),"")</f>
        <v>7</v>
      </c>
      <c r="AC6" s="5">
        <f>IF(MONTH((DATE($C$1,4,1)-WEEKDAY(DATE($C$1,4,1))+12))=4,DAY((DATE($C$1,4,1)-WEEKDAY(DATE($C$1,4,1))+12)),"")</f>
        <v>8</v>
      </c>
      <c r="AD6" s="5">
        <f>IF(MONTH((DATE($C$1,4,1)-WEEKDAY(DATE($C$1,4,1))+13))=4,DAY((DATE($C$1,4,1)-WEEKDAY(DATE($C$1,4,1))+13)),"")</f>
        <v>9</v>
      </c>
      <c r="AE6" s="5">
        <f>IF(MONTH((DATE($C$1,4,1)-WEEKDAY(DATE($C$1,4,1))+14))=4,DAY((DATE($C$1,4,1)-WEEKDAY(DATE($C$1,4,1))+14)),"")</f>
        <v>10</v>
      </c>
    </row>
    <row r="7" spans="1:31" ht="15.5" x14ac:dyDescent="0.45">
      <c r="A7" s="5">
        <f>IF(MONTH((DATE($C$1,1,1)-WEEKDAY(DATE($C$1,1,1))+15))=1,DAY((DATE($C$1,1,1)-WEEKDAY(DATE($C$1,1,1))+15)),"")</f>
        <v>10</v>
      </c>
      <c r="B7" s="5">
        <f>IF(MONTH((DATE($C$1,1,1)-WEEKDAY(DATE($C$1,1,1))+16))=1,DAY((DATE($C$1,1,1)-WEEKDAY(DATE($C$1,1,1))+16)),"")</f>
        <v>11</v>
      </c>
      <c r="C7" s="5">
        <f>IF(MONTH((DATE($C$1,1,1)-WEEKDAY(DATE($C$1,1,1))+17))=1,DAY((DATE($C$1,1,1)-WEEKDAY(DATE($C$1,1,1))+17)),"")</f>
        <v>12</v>
      </c>
      <c r="D7" s="5">
        <f>IF(MONTH((DATE($C$1,1,1)-WEEKDAY(DATE($C$1,1,1))+18))=1,DAY((DATE($C$1,1,1)-WEEKDAY(DATE($C$1,1,1))+18)),"")</f>
        <v>13</v>
      </c>
      <c r="E7" s="5">
        <f>IF(MONTH((DATE($C$1,1,1)-WEEKDAY(DATE($C$1,1,1))+19))=1,DAY((DATE($C$1,1,1)-WEEKDAY(DATE($C$1,1,1))+19)),"")</f>
        <v>14</v>
      </c>
      <c r="F7" s="5">
        <f>IF(MONTH((DATE($C$1,1,1)-WEEKDAY(DATE($C$1,1,1))+20))=1,DAY((DATE($C$1,1,1)-WEEKDAY(DATE($C$1,1,1))+20)),"")</f>
        <v>15</v>
      </c>
      <c r="G7" s="5">
        <f>IF(MONTH((DATE($C$1,1,1)-WEEKDAY(DATE($C$1,1,1))+21))=1,DAY((DATE($C$1,1,1)-WEEKDAY(DATE($C$1,1,1))+21)),"")</f>
        <v>16</v>
      </c>
      <c r="I7" s="5">
        <f>IF(MONTH((DATE($C$1,2,1)-WEEKDAY(DATE($C$1,2,1))+15))=2,DAY((DATE($C$1,2,1)-WEEKDAY(DATE($C$1,2,1))+15)),"")</f>
        <v>14</v>
      </c>
      <c r="J7" s="5">
        <f>IF(MONTH((DATE($C$1,2,1)-WEEKDAY(DATE($C$1,2,1))+16))=2,DAY((DATE($C$1,2,1)-WEEKDAY(DATE($C$1,2,1))+16)),"")</f>
        <v>15</v>
      </c>
      <c r="K7" s="5">
        <f>IF(MONTH((DATE($C$1,2,1)-WEEKDAY(DATE($C$1,2,1))+17))=2,DAY((DATE($C$1,2,1)-WEEKDAY(DATE($C$1,2,1))+17)),"")</f>
        <v>16</v>
      </c>
      <c r="L7" s="5">
        <f>IF(MONTH((DATE($C$1,2,1)-WEEKDAY(DATE($C$1,2,1))+18))=2,DAY((DATE($C$1,2,1)-WEEKDAY(DATE($C$1,2,1))+18)),"")</f>
        <v>17</v>
      </c>
      <c r="M7" s="5">
        <f>IF(MONTH((DATE($C$1,2,1)-WEEKDAY(DATE($C$1,2,1))+19))=2,DAY((DATE($C$1,2,1)-WEEKDAY(DATE($C$1,2,1))+19)),"")</f>
        <v>18</v>
      </c>
      <c r="N7" s="5">
        <f>IF(MONTH((DATE($C$1,2,1)-WEEKDAY(DATE($C$1,2,1))+20))=2,DAY((DATE($C$1,2,1)-WEEKDAY(DATE($C$1,2,1))+20)),"")</f>
        <v>19</v>
      </c>
      <c r="O7" s="5">
        <f>IF(MONTH((DATE($C$1,2,1)-WEEKDAY(DATE($C$1,2,1))+21))=2,DAY((DATE($C$1,2,1)-WEEKDAY(DATE($C$1,2,1))+21)),"")</f>
        <v>20</v>
      </c>
      <c r="Q7" s="5">
        <f>IF(MONTH((DATE($C$1,3,1)-WEEKDAY(DATE($C$1,3,1))+15))=3,DAY((DATE($C$1,3,1)-WEEKDAY(DATE($C$1,3,1))+15)),"")</f>
        <v>14</v>
      </c>
      <c r="R7" s="5">
        <f>IF(MONTH((DATE($C$1,3,1)-WEEKDAY(DATE($C$1,3,1))+16))=3,DAY((DATE($C$1,3,1)-WEEKDAY(DATE($C$1,3,1))+16)),"")</f>
        <v>15</v>
      </c>
      <c r="S7" s="5">
        <f>IF(MONTH((DATE($C$1,3,1)-WEEKDAY(DATE($C$1,3,1))+17))=3,DAY((DATE($C$1,3,1)-WEEKDAY(DATE($C$1,3,1))+17)),"")</f>
        <v>16</v>
      </c>
      <c r="T7" s="5">
        <f>IF(MONTH((DATE($C$1,3,1)-WEEKDAY(DATE($C$1,3,1))+18))=3,DAY((DATE($C$1,3,1)-WEEKDAY(DATE($C$1,3,1))+18)),"")</f>
        <v>17</v>
      </c>
      <c r="U7" s="5">
        <f>IF(MONTH((DATE($C$1,3,1)-WEEKDAY(DATE($C$1,3,1))+19))=3,DAY((DATE($C$1,3,1)-WEEKDAY(DATE($C$1,3,1))+19)),"")</f>
        <v>18</v>
      </c>
      <c r="V7" s="5">
        <f>IF(MONTH((DATE($C$1,3,1)-WEEKDAY(DATE($C$1,3,1))+20))=3,DAY((DATE($C$1,3,1)-WEEKDAY(DATE($C$1,3,1))+20)),"")</f>
        <v>19</v>
      </c>
      <c r="W7" s="5">
        <f>IF(MONTH((DATE($C$1,3,1)-WEEKDAY(DATE($C$1,3,1))+21))=3,DAY((DATE($C$1,3,1)-WEEKDAY(DATE($C$1,3,1))+21)),"")</f>
        <v>20</v>
      </c>
      <c r="Y7" s="5">
        <f>IF(MONTH((DATE($C$1,4,1)-WEEKDAY(DATE($C$1,4,1))+15))=4,DAY((DATE($C$1,4,1)-WEEKDAY(DATE($C$1,4,1))+15)),"")</f>
        <v>11</v>
      </c>
      <c r="Z7" s="5">
        <f>IF(MONTH((DATE($C$1,4,1)-WEEKDAY(DATE($C$1,4,1))+16))=4,DAY((DATE($C$1,4,1)-WEEKDAY(DATE($C$1,4,1))+16)),"")</f>
        <v>12</v>
      </c>
      <c r="AA7" s="5">
        <f>IF(MONTH((DATE($C$1,4,1)-WEEKDAY(DATE($C$1,4,1))+17))=4,DAY((DATE($C$1,4,1)-WEEKDAY(DATE($C$1,4,1))+17)),"")</f>
        <v>13</v>
      </c>
      <c r="AB7" s="5">
        <f>IF(MONTH((DATE($C$1,4,1)-WEEKDAY(DATE($C$1,4,1))+18))=4,DAY((DATE($C$1,4,1)-WEEKDAY(DATE($C$1,4,1))+18)),"")</f>
        <v>14</v>
      </c>
      <c r="AC7" s="5">
        <f>IF(MONTH((DATE($C$1,4,1)-WEEKDAY(DATE($C$1,4,1))+19))=4,DAY((DATE($C$1,4,1)-WEEKDAY(DATE($C$1,4,1))+19)),"")</f>
        <v>15</v>
      </c>
      <c r="AD7" s="5">
        <f>IF(MONTH((DATE($C$1,4,1)-WEEKDAY(DATE($C$1,4,1))+20))=4,DAY((DATE($C$1,4,1)-WEEKDAY(DATE($C$1,4,1))+20)),"")</f>
        <v>16</v>
      </c>
      <c r="AE7" s="5">
        <f>IF(MONTH((DATE($C$1,4,1)-WEEKDAY(DATE($C$1,4,1))+21))=4,DAY((DATE($C$1,4,1)-WEEKDAY(DATE($C$1,4,1))+21)),"")</f>
        <v>17</v>
      </c>
    </row>
    <row r="8" spans="1:31" ht="15.5" x14ac:dyDescent="0.45">
      <c r="A8" s="5">
        <f>IF(MONTH((DATE($C$1,1,1)-WEEKDAY(DATE($C$1,1,1))+22))=1,DAY((DATE($C$1,1,1)-WEEKDAY(DATE($C$1,1,1))+22)),"")</f>
        <v>17</v>
      </c>
      <c r="B8" s="5">
        <f>IF(MONTH((DATE($C$1,1,1)-WEEKDAY(DATE($C$1,1,1))+23))=1,DAY((DATE($C$1,1,1)-WEEKDAY(DATE($C$1,1,1))+23)),"")</f>
        <v>18</v>
      </c>
      <c r="C8" s="5">
        <f>IF(MONTH((DATE($C$1,1,1)-WEEKDAY(DATE($C$1,1,1))+24))=1,DAY((DATE($C$1,1,1)-WEEKDAY(DATE($C$1,1,1))+24)),"")</f>
        <v>19</v>
      </c>
      <c r="D8" s="5">
        <f>IF(MONTH((DATE($C$1,1,1)-WEEKDAY(DATE($C$1,1,1))+25))=1,DAY((DATE($C$1,1,1)-WEEKDAY(DATE($C$1,1,1))+25)),"")</f>
        <v>20</v>
      </c>
      <c r="E8" s="5">
        <f>IF(MONTH((DATE($C$1,1,1)-WEEKDAY(DATE($C$1,1,1))+26))=1,DAY((DATE($C$1,1,1)-WEEKDAY(DATE($C$1,1,1))+26)),"")</f>
        <v>21</v>
      </c>
      <c r="F8" s="5">
        <f>IF(MONTH((DATE($C$1,1,1)-WEEKDAY(DATE($C$1,1,1))+27))=1,DAY((DATE($C$1,1,1)-WEEKDAY(DATE($C$1,1,1))+27)),"")</f>
        <v>22</v>
      </c>
      <c r="G8" s="5">
        <f>IF(MONTH((DATE($C$1,1,1)-WEEKDAY(DATE($C$1,1,1))+28))=1,DAY((DATE($C$1,1,1)-WEEKDAY(DATE($C$1,1,1))+28)),"")</f>
        <v>23</v>
      </c>
      <c r="I8" s="5">
        <f>IF(MONTH((DATE($C$1,2,1)-WEEKDAY(DATE($C$1,2,1))+22))=2,DAY((DATE($C$1,2,1)-WEEKDAY(DATE($C$1,2,1))+22)),"")</f>
        <v>21</v>
      </c>
      <c r="J8" s="5">
        <f>IF(MONTH((DATE($C$1,2,1)-WEEKDAY(DATE($C$1,2,1))+23))=2,DAY((DATE($C$1,2,1)-WEEKDAY(DATE($C$1,2,1))+23)),"")</f>
        <v>22</v>
      </c>
      <c r="K8" s="5">
        <f>IF(MONTH((DATE($C$1,2,1)-WEEKDAY(DATE($C$1,2,1))+24))=2,DAY((DATE($C$1,2,1)-WEEKDAY(DATE($C$1,2,1))+24)),"")</f>
        <v>23</v>
      </c>
      <c r="L8" s="5">
        <f>IF(MONTH((DATE($C$1,2,1)-WEEKDAY(DATE($C$1,2,1))+25))=2,DAY((DATE($C$1,2,1)-WEEKDAY(DATE($C$1,2,1))+25)),"")</f>
        <v>24</v>
      </c>
      <c r="M8" s="5">
        <f>IF(MONTH((DATE($C$1,2,1)-WEEKDAY(DATE($C$1,2,1))+26))=2,DAY((DATE($C$1,2,1)-WEEKDAY(DATE($C$1,2,1))+26)),"")</f>
        <v>25</v>
      </c>
      <c r="N8" s="5">
        <f>IF(MONTH((DATE($C$1,2,1)-WEEKDAY(DATE($C$1,2,1))+27))=2,DAY((DATE($C$1,2,1)-WEEKDAY(DATE($C$1,2,1))+27)),"")</f>
        <v>26</v>
      </c>
      <c r="O8" s="5">
        <f>IF(MONTH((DATE($C$1,2,1)-WEEKDAY(DATE($C$1,2,1))+28))=2,DAY((DATE($C$1,2,1)-WEEKDAY(DATE($C$1,2,1))+28)),"")</f>
        <v>27</v>
      </c>
      <c r="Q8" s="5">
        <f>IF(MONTH((DATE($C$1,3,1)-WEEKDAY(DATE($C$1,3,1))+22))=3,DAY((DATE($C$1,3,1)-WEEKDAY(DATE($C$1,3,1))+22)),"")</f>
        <v>21</v>
      </c>
      <c r="R8" s="5">
        <f>IF(MONTH((DATE($C$1,3,1)-WEEKDAY(DATE($C$1,3,1))+23))=3,DAY((DATE($C$1,3,1)-WEEKDAY(DATE($C$1,3,1))+23)),"")</f>
        <v>22</v>
      </c>
      <c r="S8" s="5">
        <f>IF(MONTH((DATE($C$1,3,1)-WEEKDAY(DATE($C$1,3,1))+24))=3,DAY((DATE($C$1,3,1)-WEEKDAY(DATE($C$1,3,1))+24)),"")</f>
        <v>23</v>
      </c>
      <c r="T8" s="5">
        <f>IF(MONTH((DATE($C$1,3,1)-WEEKDAY(DATE($C$1,3,1))+25))=3,DAY((DATE($C$1,3,1)-WEEKDAY(DATE($C$1,3,1))+25)),"")</f>
        <v>24</v>
      </c>
      <c r="U8" s="5">
        <f>IF(MONTH((DATE($C$1,3,1)-WEEKDAY(DATE($C$1,3,1))+26))=3,DAY((DATE($C$1,3,1)-WEEKDAY(DATE($C$1,3,1))+26)),"")</f>
        <v>25</v>
      </c>
      <c r="V8" s="5">
        <f>IF(MONTH((DATE($C$1,3,1)-WEEKDAY(DATE($C$1,3,1))+27))=3,DAY((DATE($C$1,3,1)-WEEKDAY(DATE($C$1,3,1))+27)),"")</f>
        <v>26</v>
      </c>
      <c r="W8" s="5">
        <f>IF(MONTH((DATE($C$1,3,1)-WEEKDAY(DATE($C$1,3,1))+28))=3,DAY((DATE($C$1,3,1)-WEEKDAY(DATE($C$1,3,1))+28)),"")</f>
        <v>27</v>
      </c>
      <c r="Y8" s="5">
        <f>IF(MONTH((DATE($C$1,4,1)-WEEKDAY(DATE($C$1,4,1))+22))=4,DAY((DATE($C$1,4,1)-WEEKDAY(DATE($C$1,4,1))+22)),"")</f>
        <v>18</v>
      </c>
      <c r="Z8" s="5">
        <f>IF(MONTH((DATE($C$1,4,1)-WEEKDAY(DATE($C$1,4,1))+23))=4,DAY((DATE($C$1,4,1)-WEEKDAY(DATE($C$1,4,1))+23)),"")</f>
        <v>19</v>
      </c>
      <c r="AA8" s="5">
        <f>IF(MONTH((DATE($C$1,4,1)-WEEKDAY(DATE($C$1,4,1))+24))=4,DAY((DATE($C$1,4,1)-WEEKDAY(DATE($C$1,4,1))+24)),"")</f>
        <v>20</v>
      </c>
      <c r="AB8" s="5">
        <f>IF(MONTH((DATE($C$1,4,1)-WEEKDAY(DATE($C$1,4,1))+25))=4,DAY((DATE($C$1,4,1)-WEEKDAY(DATE($C$1,4,1))+25)),"")</f>
        <v>21</v>
      </c>
      <c r="AC8" s="5">
        <f>IF(MONTH((DATE($C$1,4,1)-WEEKDAY(DATE($C$1,4,1))+26))=4,DAY((DATE($C$1,4,1)-WEEKDAY(DATE($C$1,4,1))+26)),"")</f>
        <v>22</v>
      </c>
      <c r="AD8" s="5">
        <f>IF(MONTH((DATE($C$1,4,1)-WEEKDAY(DATE($C$1,4,1))+27))=4,DAY((DATE($C$1,4,1)-WEEKDAY(DATE($C$1,4,1))+27)),"")</f>
        <v>23</v>
      </c>
      <c r="AE8" s="5">
        <f>IF(MONTH((DATE($C$1,4,1)-WEEKDAY(DATE($C$1,4,1))+28))=4,DAY((DATE($C$1,4,1)-WEEKDAY(DATE($C$1,4,1))+28)),"")</f>
        <v>24</v>
      </c>
    </row>
    <row r="9" spans="1:31" ht="15.5" x14ac:dyDescent="0.45">
      <c r="A9" s="5">
        <f>IF(MONTH((DATE($C$1,1,1)-WEEKDAY(DATE($C$1,1,1))+29))=1,DAY((DATE($C$1,1,1)-WEEKDAY(DATE($C$1,1,1))+29)),"")</f>
        <v>24</v>
      </c>
      <c r="B9" s="5">
        <f>IF(MONTH((DATE($C$1,1,1)-WEEKDAY(DATE($C$1,1,1))+30))=1,DAY((DATE($C$1,1,1)-WEEKDAY(DATE($C$1,1,1))+30)),"")</f>
        <v>25</v>
      </c>
      <c r="C9" s="5">
        <f>IF(MONTH((DATE($C$1,1,1)-WEEKDAY(DATE($C$1,1,1))+31))=1,DAY((DATE($C$1,1,1)-WEEKDAY(DATE($C$1,1,1))+31)),"")</f>
        <v>26</v>
      </c>
      <c r="D9" s="5">
        <f>IF(MONTH((DATE($C$1,1,1)-WEEKDAY(DATE($C$1,1,1))+32))=1,DAY((DATE($C$1,1,1)-WEEKDAY(DATE($C$1,1,1))+32)),"")</f>
        <v>27</v>
      </c>
      <c r="E9" s="5">
        <f>IF(MONTH((DATE($C$1,1,1)-WEEKDAY(DATE($C$1,1,1))+33))=1,DAY((DATE($C$1,1,1)-WEEKDAY(DATE($C$1,1,1))+33)),"")</f>
        <v>28</v>
      </c>
      <c r="F9" s="5">
        <f>IF(MONTH((DATE($C$1,1,1)-WEEKDAY(DATE($C$1,1,1))+34))=1,DAY((DATE($C$1,1,1)-WEEKDAY(DATE($C$1,1,1))+34)),"")</f>
        <v>29</v>
      </c>
      <c r="G9" s="5">
        <f>IF(MONTH((DATE($C$1,1,1)-WEEKDAY(DATE($C$1,1,1))+35))=1,DAY((DATE($C$1,1,1)-WEEKDAY(DATE($C$1,1,1))+35)),"")</f>
        <v>30</v>
      </c>
      <c r="I9" s="5">
        <f>IF(MONTH((DATE($C$1,2,1)-WEEKDAY(DATE($C$1,2,1))+29))=2,DAY((DATE($C$1,2,1)-WEEKDAY(DATE($C$1,2,1))+29)),"")</f>
        <v>28</v>
      </c>
      <c r="J9" s="5" t="str">
        <f>IF(MONTH((DATE($C$1,2,1)-WEEKDAY(DATE($C$1,2,1))+30))=2,DAY((DATE($C$1,2,1)-WEEKDAY(DATE($C$1,2,1))+30)),"")</f>
        <v/>
      </c>
      <c r="K9" s="5" t="str">
        <f>IF(MONTH((DATE($C$1,2,1)-WEEKDAY(DATE($C$1,2,1))+31))=2,DAY((DATE($C$1,2,1)-WEEKDAY(DATE($C$1,2,1))+31)),"")</f>
        <v/>
      </c>
      <c r="L9" s="5" t="str">
        <f>IF(MONTH((DATE($C$1,2,1)-WEEKDAY(DATE($C$1,2,1))+32))=2,DAY((DATE($C$1,2,1)-WEEKDAY(DATE($C$1,2,1))+32)),"")</f>
        <v/>
      </c>
      <c r="M9" s="5" t="str">
        <f>IF(MONTH((DATE($C$1,2,1)-WEEKDAY(DATE($C$1,2,1))+33))=2,DAY((DATE($C$1,2,1)-WEEKDAY(DATE($C$1,2,1))+33)),"")</f>
        <v/>
      </c>
      <c r="N9" s="5" t="str">
        <f>IF(MONTH((DATE($C$1,2,1)-WEEKDAY(DATE($C$1,2,1))+34))=2,DAY((DATE($C$1,2,1)-WEEKDAY(DATE($C$1,2,1))+34)),"")</f>
        <v/>
      </c>
      <c r="O9" s="5" t="str">
        <f>IF(MONTH((DATE($C$1,2,1)-WEEKDAY(DATE($C$1,2,1))+35))=2,DAY((DATE($C$1,2,1)-WEEKDAY(DATE($C$1,2,1))+35)),"")</f>
        <v/>
      </c>
      <c r="Q9" s="5">
        <f>IF(MONTH((DATE($C$1,3,1)-WEEKDAY(DATE($C$1,3,1))+29))=3,DAY((DATE($C$1,3,1)-WEEKDAY(DATE($C$1,3,1))+29)),"")</f>
        <v>28</v>
      </c>
      <c r="R9" s="5">
        <f>IF(MONTH((DATE($C$1,3,1)-WEEKDAY(DATE($C$1,3,1))+30))=3,DAY((DATE($C$1,3,1)-WEEKDAY(DATE($C$1,3,1))+30)),"")</f>
        <v>29</v>
      </c>
      <c r="S9" s="5">
        <f>IF(MONTH((DATE($C$1,3,1)-WEEKDAY(DATE($C$1,3,1))+31))=3,DAY((DATE($C$1,3,1)-WEEKDAY(DATE($C$1,3,1))+31)),"")</f>
        <v>30</v>
      </c>
      <c r="T9" s="5">
        <f>IF(MONTH((DATE($C$1,3,1)-WEEKDAY(DATE($C$1,3,1))+32))=3,DAY((DATE($C$1,3,1)-WEEKDAY(DATE($C$1,3,1))+32)),"")</f>
        <v>31</v>
      </c>
      <c r="U9" s="5" t="str">
        <f>IF(MONTH((DATE($C$1,3,1)-WEEKDAY(DATE($C$1,3,1))+33))=3,DAY((DATE($C$1,3,1)-WEEKDAY(DATE($C$1,3,1))+33)),"")</f>
        <v/>
      </c>
      <c r="V9" s="5" t="str">
        <f>IF(MONTH((DATE($C$1,3,1)-WEEKDAY(DATE($C$1,3,1))+34))=3,DAY((DATE($C$1,3,1)-WEEKDAY(DATE($C$1,3,1))+34)),"")</f>
        <v/>
      </c>
      <c r="W9" s="5" t="str">
        <f>IF(MONTH((DATE($C$1,3,1)-WEEKDAY(DATE($C$1,3,1))+35))=3,DAY((DATE($C$1,3,1)-WEEKDAY(DATE($C$1,3,1))+35)),"")</f>
        <v/>
      </c>
      <c r="Y9" s="5">
        <f>IF(MONTH((DATE($C$1,4,1)-WEEKDAY(DATE($C$1,4,1))+29))=4,DAY((DATE($C$1,4,1)-WEEKDAY(DATE($C$1,4,1))+29)),"")</f>
        <v>25</v>
      </c>
      <c r="Z9" s="5">
        <f>IF(MONTH((DATE($C$1,4,1)-WEEKDAY(DATE($C$1,4,1))+30))=4,DAY((DATE($C$1,4,1)-WEEKDAY(DATE($C$1,4,1))+30)),"")</f>
        <v>26</v>
      </c>
      <c r="AA9" s="5">
        <f>IF(MONTH((DATE($C$1,4,1)-WEEKDAY(DATE($C$1,4,1))+31))=4,DAY((DATE($C$1,4,1)-WEEKDAY(DATE($C$1,4,1))+31)),"")</f>
        <v>27</v>
      </c>
      <c r="AB9" s="5">
        <f>IF(MONTH((DATE($C$1,4,1)-WEEKDAY(DATE($C$1,4,1))+32))=4,DAY((DATE($C$1,4,1)-WEEKDAY(DATE($C$1,4,1))+32)),"")</f>
        <v>28</v>
      </c>
      <c r="AC9" s="5">
        <f>IF(MONTH((DATE($C$1,4,1)-WEEKDAY(DATE($C$1,4,1))+33))=4,DAY((DATE($C$1,4,1)-WEEKDAY(DATE($C$1,4,1))+33)),"")</f>
        <v>29</v>
      </c>
      <c r="AD9" s="5">
        <f>IF(MONTH((DATE($C$1,4,1)-WEEKDAY(DATE($C$1,4,1))+34))=4,DAY((DATE($C$1,4,1)-WEEKDAY(DATE($C$1,4,1))+34)),"")</f>
        <v>30</v>
      </c>
      <c r="AE9" s="5" t="str">
        <f>IF(MONTH((DATE($C$1,4,1)-WEEKDAY(DATE($C$1,4,1))+35))=4,DAY((DATE($C$1,4,1)-WEEKDAY(DATE($C$1,4,1))+35)),"")</f>
        <v/>
      </c>
    </row>
    <row r="10" spans="1:31" ht="15.5" x14ac:dyDescent="0.45">
      <c r="A10" s="5">
        <f>IF(MONTH((DATE($C$1,1,1)-WEEKDAY(DATE($C$1,1,1))+36))=1,DAY((DATE($C$1,1,1)-WEEKDAY(DATE($C$1,1,1))+36)),"")</f>
        <v>31</v>
      </c>
      <c r="B10" s="5" t="str">
        <f>IF(MONTH((DATE($C$1,1,1)-WEEKDAY(DATE($C$1,1,1))+37))=1,DAY((DATE($C$1,1,1)-WEEKDAY(DATE($C$1,1,1))+37)),"")</f>
        <v/>
      </c>
      <c r="C10" s="5" t="str">
        <f>IF(MONTH((DATE($C$1,1,1)-WEEKDAY(DATE($C$1,1,1))+38))=1,DAY((DATE($C$1,1,1)-WEEKDAY(DATE($C$1,1,1))+38)),"")</f>
        <v/>
      </c>
      <c r="D10" s="5" t="str">
        <f>IF(MONTH((DATE($C$1,1,1)-WEEKDAY(DATE($C$1,1,1))+39))=1,DAY((DATE($C$1,1,1)-WEEKDAY(DATE($C$1,1,1))+39)),"")</f>
        <v/>
      </c>
      <c r="E10" s="5" t="str">
        <f>IF(MONTH((DATE($C$1,1,1)-WEEKDAY(DATE($C$1,1,1))+40))=1,DAY((DATE($C$1,1,1)-WEEKDAY(DATE($C$1,1,1))+40)),"")</f>
        <v/>
      </c>
      <c r="F10" s="5" t="str">
        <f>IF(MONTH((DATE($C$1,1,1)-WEEKDAY(DATE($C$1,1,1))+41))=1,DAY((DATE($C$1,1,1)-WEEKDAY(DATE($C$1,1,1))+41)),"")</f>
        <v/>
      </c>
      <c r="G10" s="5" t="str">
        <f>IF(MONTH((DATE($C$1,1,1)-WEEKDAY(DATE($C$1,1,1))+42))=1,DAY((DATE($C$1,1,1)-WEEKDAY(DATE($C$1,1,1))+42)),"")</f>
        <v/>
      </c>
      <c r="I10" s="5" t="str">
        <f>IF(MONTH((DATE($C$1,2,1)-WEEKDAY(DATE($C$1,2,1))+36))=2,DAY((DATE($C$1,2,1)-WEEKDAY(DATE($C$1,2,1))+36)),"")</f>
        <v/>
      </c>
      <c r="J10" s="5" t="str">
        <f>IF(MONTH((DATE($C$1,2,1)-WEEKDAY(DATE($C$1,2,1))+37))=2,DAY((DATE($C$1,2,1)-WEEKDAY(DATE($C$1,2,1))+37)),"")</f>
        <v/>
      </c>
      <c r="K10" s="5" t="str">
        <f>IF(MONTH((DATE($C$1,2,1)-WEEKDAY(DATE($C$1,2,1))+38))=2,DAY((DATE($C$1,2,1)-WEEKDAY(DATE($C$1,2,1))+38)),"")</f>
        <v/>
      </c>
      <c r="L10" s="5" t="str">
        <f>IF(MONTH((DATE($C$1,2,1)-WEEKDAY(DATE($C$1,2,1))+39))=2,DAY((DATE($C$1,2,1)-WEEKDAY(DATE($C$1,2,1))+39)),"")</f>
        <v/>
      </c>
      <c r="M10" s="5" t="str">
        <f>IF(MONTH((DATE($C$1,2,1)-WEEKDAY(DATE($C$1,2,1))+40))=2,DAY((DATE($C$1,2,1)-WEEKDAY(DATE($C$1,2,1))+40)),"")</f>
        <v/>
      </c>
      <c r="N10" s="5" t="str">
        <f>IF(MONTH((DATE($C$1,2,1)-WEEKDAY(DATE($C$1,2,1))+41))=2,DAY((DATE($C$1,2,1)-WEEKDAY(DATE($C$1,2,1))+41)),"")</f>
        <v/>
      </c>
      <c r="O10" s="5" t="str">
        <f>IF(MONTH((DATE($C$1,2,1)-WEEKDAY(DATE($C$1,2,1))+42))=2,DAY((DATE($C$1,2,1)-WEEKDAY(DATE($C$1,2,1))+42)),"")</f>
        <v/>
      </c>
      <c r="Q10" s="5" t="str">
        <f>IF(MONTH((DATE($C$1,3,1)-WEEKDAY(DATE($C$1,3,1))+36))=3,DAY((DATE($C$1,3,1)-WEEKDAY(DATE($C$1,3,1))+36)),"")</f>
        <v/>
      </c>
      <c r="R10" s="5" t="str">
        <f>IF(MONTH((DATE($C$1,3,1)-WEEKDAY(DATE($C$1,3,1))+37))=3,DAY((DATE($C$1,3,1)-WEEKDAY(DATE($C$1,3,1))+37)),"")</f>
        <v/>
      </c>
      <c r="S10" s="5" t="str">
        <f>IF(MONTH((DATE($C$1,3,1)-WEEKDAY(DATE($C$1,3,1))+38))=3,DAY((DATE($C$1,3,1)-WEEKDAY(DATE($C$1,3,1))+38)),"")</f>
        <v/>
      </c>
      <c r="T10" s="5" t="str">
        <f>IF(MONTH((DATE($C$1,3,1)-WEEKDAY(DATE($C$1,3,1))+39))=3,DAY((DATE($C$1,3,1)-WEEKDAY(DATE($C$1,3,1))+39)),"")</f>
        <v/>
      </c>
      <c r="U10" s="5" t="str">
        <f>IF(MONTH((DATE($C$1,3,1)-WEEKDAY(DATE($C$1,3,1))+40))=3,DAY((DATE($C$1,3,1)-WEEKDAY(DATE($C$1,3,1))+40)),"")</f>
        <v/>
      </c>
      <c r="V10" s="5" t="str">
        <f>IF(MONTH((DATE($C$1,3,1)-WEEKDAY(DATE($C$1,3,1))+41))=3,DAY((DATE($C$1,3,1)-WEEKDAY(DATE($C$1,3,1))+41)),"")</f>
        <v/>
      </c>
      <c r="W10" s="5" t="str">
        <f>IF(MONTH((DATE($C$1,3,1)-WEEKDAY(DATE($C$1,3,1))+42))=3,DAY((DATE($C$1,3,1)-WEEKDAY(DATE($C$1,3,1))+42)),"")</f>
        <v/>
      </c>
      <c r="Y10" s="5" t="str">
        <f>IF(MONTH((DATE($C$1,4,1)-WEEKDAY(DATE($C$1,4,1))+36))=4,DAY((DATE($C$1,4,1)-WEEKDAY(DATE($C$1,4,1))+36)),"")</f>
        <v/>
      </c>
      <c r="Z10" s="5" t="str">
        <f>IF(MONTH((DATE($C$1,4,1)-WEEKDAY(DATE($C$1,4,1))+37))=4,DAY((DATE($C$1,4,1)-WEEKDAY(DATE($C$1,4,1))+37)),"")</f>
        <v/>
      </c>
      <c r="AA10" s="5" t="str">
        <f>IF(MONTH((DATE($C$1,4,1)-WEEKDAY(DATE($C$1,4,1))+38))=4,DAY((DATE($C$1,4,1)-WEEKDAY(DATE($C$1,4,1))+38)),"")</f>
        <v/>
      </c>
      <c r="AB10" s="5" t="str">
        <f>IF(MONTH((DATE($C$1,4,1)-WEEKDAY(DATE($C$1,4,1))+39))=4,DAY((DATE($C$1,4,1)-WEEKDAY(DATE($C$1,4,1))+39)),"")</f>
        <v/>
      </c>
      <c r="AC10" s="5" t="str">
        <f>IF(MONTH((DATE($C$1,4,1)-WEEKDAY(DATE($C$1,4,1))+40))=4,DAY((DATE($C$1,4,1)-WEEKDAY(DATE($C$1,4,1))+40)),"")</f>
        <v/>
      </c>
      <c r="AD10" s="5" t="str">
        <f>IF(MONTH((DATE($C$1,4,1)-WEEKDAY(DATE($C$1,4,1))+41))=4,DAY((DATE($C$1,4,1)-WEEKDAY(DATE($C$1,4,1))+41)),"")</f>
        <v/>
      </c>
      <c r="AE10" s="5" t="str">
        <f>IF(MONTH((DATE($C$1,4,1)-WEEKDAY(DATE($C$1,4,1))+42))=4,DAY((DATE($C$1,4,1)-WEEKDAY(DATE($C$1,4,1))+42)),"")</f>
        <v/>
      </c>
    </row>
    <row r="13" spans="1:31" ht="20" x14ac:dyDescent="0.6">
      <c r="A13" s="13" t="s">
        <v>13</v>
      </c>
      <c r="B13" s="14"/>
      <c r="C13" s="14"/>
      <c r="D13" s="14"/>
      <c r="E13" s="14"/>
      <c r="F13" s="14"/>
      <c r="G13" s="14"/>
      <c r="I13" s="13" t="s">
        <v>14</v>
      </c>
      <c r="J13" s="14"/>
      <c r="K13" s="14"/>
      <c r="L13" s="14"/>
      <c r="M13" s="14"/>
      <c r="N13" s="14"/>
      <c r="O13" s="14"/>
      <c r="Q13" s="13" t="s">
        <v>15</v>
      </c>
      <c r="R13" s="14"/>
      <c r="S13" s="14"/>
      <c r="T13" s="14"/>
      <c r="U13" s="14"/>
      <c r="V13" s="14"/>
      <c r="W13" s="14"/>
      <c r="Y13" s="13" t="s">
        <v>16</v>
      </c>
      <c r="Z13" s="14"/>
      <c r="AA13" s="14"/>
      <c r="AB13" s="14"/>
      <c r="AC13" s="14"/>
      <c r="AD13" s="14"/>
      <c r="AE13" s="14"/>
    </row>
    <row r="14" spans="1:31" ht="15" x14ac:dyDescent="0.4">
      <c r="A14" s="2" t="s">
        <v>6</v>
      </c>
      <c r="B14" s="3" t="s">
        <v>7</v>
      </c>
      <c r="C14" s="3" t="s">
        <v>8</v>
      </c>
      <c r="D14" s="3" t="s">
        <v>9</v>
      </c>
      <c r="E14" s="3" t="s">
        <v>10</v>
      </c>
      <c r="F14" s="3" t="s">
        <v>11</v>
      </c>
      <c r="G14" s="4" t="s">
        <v>12</v>
      </c>
      <c r="I14" s="2" t="s">
        <v>6</v>
      </c>
      <c r="J14" s="3" t="s">
        <v>7</v>
      </c>
      <c r="K14" s="3" t="s">
        <v>8</v>
      </c>
      <c r="L14" s="3" t="s">
        <v>9</v>
      </c>
      <c r="M14" s="3" t="s">
        <v>10</v>
      </c>
      <c r="N14" s="3" t="s">
        <v>11</v>
      </c>
      <c r="O14" s="4" t="s">
        <v>12</v>
      </c>
      <c r="Q14" s="2" t="s">
        <v>6</v>
      </c>
      <c r="R14" s="3" t="s">
        <v>7</v>
      </c>
      <c r="S14" s="3" t="s">
        <v>8</v>
      </c>
      <c r="T14" s="3" t="s">
        <v>9</v>
      </c>
      <c r="U14" s="3" t="s">
        <v>10</v>
      </c>
      <c r="V14" s="3" t="s">
        <v>11</v>
      </c>
      <c r="W14" s="4" t="s">
        <v>12</v>
      </c>
      <c r="Y14" s="2" t="s">
        <v>6</v>
      </c>
      <c r="Z14" s="3" t="s">
        <v>7</v>
      </c>
      <c r="AA14" s="3" t="s">
        <v>8</v>
      </c>
      <c r="AB14" s="3" t="s">
        <v>9</v>
      </c>
      <c r="AC14" s="3" t="s">
        <v>10</v>
      </c>
      <c r="AD14" s="3" t="s">
        <v>11</v>
      </c>
      <c r="AE14" s="4" t="s">
        <v>12</v>
      </c>
    </row>
    <row r="15" spans="1:31" ht="15.5" x14ac:dyDescent="0.45">
      <c r="A15" s="5" t="str">
        <f>IF(MONTH((DATE($C$1,5,1)-WEEKDAY(DATE($C$1,5,1))+1))=5,DAY((DATE($C$1,5,1)-WEEKDAY(DATE($C$1,5,1))+1)),"")</f>
        <v/>
      </c>
      <c r="B15" s="5" t="str">
        <f>IF(MONTH((DATE($C$1,5,1)-WEEKDAY(DATE($C$1,5,1))+2))=5,DAY((DATE($C$1,5,1)-WEEKDAY(DATE($C$1,5,1))+2)),"")</f>
        <v/>
      </c>
      <c r="C15" s="5" t="str">
        <f>IF(MONTH((DATE($C$1,5,1)-WEEKDAY(DATE($C$1,5,1))+3))=5,DAY((DATE($C$1,5,1)-WEEKDAY(DATE($C$1,5,1))+3)),"")</f>
        <v/>
      </c>
      <c r="D15" s="5" t="str">
        <f>IF(MONTH((DATE($C$1,5,1)-WEEKDAY(DATE($C$1,5,1))+4))=5,DAY((DATE($C$1,5,1)-WEEKDAY(DATE($C$1,5,1))+4)),"")</f>
        <v/>
      </c>
      <c r="E15" s="5" t="str">
        <f>IF(MONTH((DATE($C$1,5,1)-WEEKDAY(DATE($C$1,5,1))+5))=5,DAY((DATE($C$1,5,1)-WEEKDAY(DATE($C$1,5,1))+5)),"")</f>
        <v/>
      </c>
      <c r="F15" s="5" t="str">
        <f>IF(MONTH((DATE($C$1,5,1)-WEEKDAY(DATE($C$1,5,1))+6))=5,DAY((DATE($C$1,5,1)-WEEKDAY(DATE($C$1,5,1))+6)),"")</f>
        <v/>
      </c>
      <c r="G15" s="5">
        <f>IF(MONTH((DATE($C$1,5,1)-WEEKDAY(DATE($C$1,5,1))+7))=5,DAY((DATE($C$1,5,1)-WEEKDAY(DATE($C$1,5,1))+7)),"")</f>
        <v>1</v>
      </c>
      <c r="I15" s="5" t="str">
        <f>IF(MONTH((DATE($C$1,6,1)-WEEKDAY(DATE($C$1,6,1))+1))=6,DAY((DATE($C$1,6,1)-WEEKDAY(DATE($C$1,6,1))+1)),"")</f>
        <v/>
      </c>
      <c r="J15" s="5" t="str">
        <f>IF(MONTH((DATE($C$1,6,1)-WEEKDAY(DATE($C$1,6,1))+2))=6,DAY((DATE($C$1,6,1)-WEEKDAY(DATE($C$1,6,1))+2)),"")</f>
        <v/>
      </c>
      <c r="K15" s="5">
        <f>IF(MONTH((DATE($C$1,6,1)-WEEKDAY(DATE($C$1,6,1))+3))=6,DAY((DATE($C$1,6,1)-WEEKDAY(DATE($C$1,6,1))+3)),"")</f>
        <v>1</v>
      </c>
      <c r="L15" s="5">
        <f>IF(MONTH((DATE($C$1,6,1)-WEEKDAY(DATE($C$1,6,1))+4))=6,DAY((DATE($C$1,6,1)-WEEKDAY(DATE($C$1,6,1))+4)),"")</f>
        <v>2</v>
      </c>
      <c r="M15" s="5">
        <f>IF(MONTH((DATE($C$1,6,1)-WEEKDAY(DATE($C$1,6,1))+5))=6,DAY((DATE($C$1,6,1)-WEEKDAY(DATE($C$1,6,1))+5)),"")</f>
        <v>3</v>
      </c>
      <c r="N15" s="5">
        <f>IF(MONTH((DATE($C$1,6,1)-WEEKDAY(DATE($C$1,6,1))+6))=6,DAY((DATE($C$1,6,1)-WEEKDAY(DATE($C$1,6,1))+6)),"")</f>
        <v>4</v>
      </c>
      <c r="O15" s="5">
        <f>IF(MONTH((DATE($C$1,6,1)-WEEKDAY(DATE($C$1,6,1))+7))=6,DAY((DATE($C$1,6,1)-WEEKDAY(DATE($C$1,6,1))+7)),"")</f>
        <v>5</v>
      </c>
      <c r="Q15" s="5" t="str">
        <f>IF(MONTH((DATE($C$1,7,1)-WEEKDAY(DATE($C$1,7,1))+1))=7,DAY((DATE($C$1,7,1)-WEEKDAY(DATE($C$1,7,1))+1)),"")</f>
        <v/>
      </c>
      <c r="R15" s="5" t="str">
        <f>IF(MONTH((DATE($C$1,7,1)-WEEKDAY(DATE($C$1,7,1))+2))=7,DAY((DATE($C$1,7,1)-WEEKDAY(DATE($C$1,7,1))+2)),"")</f>
        <v/>
      </c>
      <c r="S15" s="5" t="str">
        <f>IF(MONTH((DATE($C$1,7,1)-WEEKDAY(DATE($C$1,7,1))+3))=7,DAY((DATE($C$1,7,1)-WEEKDAY(DATE($C$1,7,1))+3)),"")</f>
        <v/>
      </c>
      <c r="T15" s="5" t="str">
        <f>IF(MONTH((DATE($C$1,7,1)-WEEKDAY(DATE($C$1,7,1))+4))=7,DAY((DATE($C$1,7,1)-WEEKDAY(DATE($C$1,7,1))+4)),"")</f>
        <v/>
      </c>
      <c r="U15" s="5">
        <f>IF(MONTH((DATE($C$1,7,1)-WEEKDAY(DATE($C$1,7,1))+5))=7,DAY((DATE($C$1,7,1)-WEEKDAY(DATE($C$1,7,1))+5)),"")</f>
        <v>1</v>
      </c>
      <c r="V15" s="5">
        <f>IF(MONTH((DATE($C$1,7,1)-WEEKDAY(DATE($C$1,7,1))+6))=7,DAY((DATE($C$1,7,1)-WEEKDAY(DATE($C$1,7,1))+6)),"")</f>
        <v>2</v>
      </c>
      <c r="W15" s="5">
        <f>IF(MONTH((DATE($C$1,7,1)-WEEKDAY(DATE($C$1,7,1))+7))=7,DAY((DATE($C$1,7,1)-WEEKDAY(DATE($C$1,7,1))+7)),"")</f>
        <v>3</v>
      </c>
      <c r="Y15" s="5">
        <f>IF(MONTH((DATE($C$1,8,1)-WEEKDAY(DATE($C$1,8,1))+1))=8,DAY((DATE($C$1,8,1)-WEEKDAY(DATE($C$1,8,1))+1)),"")</f>
        <v>1</v>
      </c>
      <c r="Z15" s="5">
        <f>IF(MONTH((DATE($C$1,8,1)-WEEKDAY(DATE($C$1,8,1))+2))=8,DAY((DATE($C$1,8,1)-WEEKDAY(DATE($C$1,8,1))+2)),"")</f>
        <v>2</v>
      </c>
      <c r="AA15" s="5">
        <f>IF(MONTH((DATE($C$1,8,1)-WEEKDAY(DATE($C$1,8,1))+3))=8,DAY((DATE($C$1,8,1)-WEEKDAY(DATE($C$1,8,1))+3)),"")</f>
        <v>3</v>
      </c>
      <c r="AB15" s="5">
        <f>IF(MONTH((DATE($C$1,8,1)-WEEKDAY(DATE($C$1,8,1))+4))=8,DAY((DATE($C$1,8,1)-WEEKDAY(DATE($C$1,8,1))+4)),"")</f>
        <v>4</v>
      </c>
      <c r="AC15" s="5">
        <f>IF(MONTH((DATE($C$1,8,1)-WEEKDAY(DATE($C$1,8,1))+5))=8,DAY((DATE($C$1,8,1)-WEEKDAY(DATE($C$1,8,1))+5)),"")</f>
        <v>5</v>
      </c>
      <c r="AD15" s="5">
        <f>IF(MONTH((DATE($C$1,8,1)-WEEKDAY(DATE($C$1,8,1))+6))=8,DAY((DATE($C$1,8,1)-WEEKDAY(DATE($C$1,8,1))+6)),"")</f>
        <v>6</v>
      </c>
      <c r="AE15" s="5">
        <f>IF(MONTH((DATE($C$1,8,1)-WEEKDAY(DATE($C$1,8,1))+7))=8,DAY((DATE($C$1,8,1)-WEEKDAY(DATE($C$1,8,1))+7)),"")</f>
        <v>7</v>
      </c>
    </row>
    <row r="16" spans="1:31" ht="15.5" x14ac:dyDescent="0.45">
      <c r="A16" s="5">
        <f>IF(MONTH((DATE($C$1,5,1)-WEEKDAY(DATE($C$1,5,1))+8))=5,DAY((DATE($C$1,5,1)-WEEKDAY(DATE($C$1,5,1))+8)),"")</f>
        <v>2</v>
      </c>
      <c r="B16" s="5">
        <f>IF(MONTH((DATE($C$1,5,1)-WEEKDAY(DATE($C$1,5,1))+9))=5,DAY((DATE($C$1,5,1)-WEEKDAY(DATE($C$1,5,1))+9)),"")</f>
        <v>3</v>
      </c>
      <c r="C16" s="5">
        <f>IF(MONTH((DATE($C$1,5,1)-WEEKDAY(DATE($C$1,5,1))+10))=5,DAY((DATE($C$1,5,1)-WEEKDAY(DATE($C$1,5,1))+10)),"")</f>
        <v>4</v>
      </c>
      <c r="D16" s="5">
        <f>IF(MONTH((DATE($C$1,5,1)-WEEKDAY(DATE($C$1,5,1))+11))=5,DAY((DATE($C$1,5,1)-WEEKDAY(DATE($C$1,5,1))+11)),"")</f>
        <v>5</v>
      </c>
      <c r="E16" s="5">
        <f>IF(MONTH((DATE($C$1,5,1)-WEEKDAY(DATE($C$1,5,1))+12))=5,DAY((DATE($C$1,5,1)-WEEKDAY(DATE($C$1,5,1))+12)),"")</f>
        <v>6</v>
      </c>
      <c r="F16" s="5">
        <f>IF(MONTH((DATE($C$1,5,1)-WEEKDAY(DATE($C$1,5,1))+13))=5,DAY((DATE($C$1,5,1)-WEEKDAY(DATE($C$1,5,1))+13)),"")</f>
        <v>7</v>
      </c>
      <c r="G16" s="5">
        <f>IF(MONTH((DATE($C$1,5,1)-WEEKDAY(DATE($C$1,5,1))+14))=5,DAY((DATE($C$1,5,1)-WEEKDAY(DATE($C$1,5,1))+14)),"")</f>
        <v>8</v>
      </c>
      <c r="I16" s="5">
        <f>IF(MONTH((DATE($C$1,6,1)-WEEKDAY(DATE($C$1,6,1))+8))=6,DAY((DATE($C$1,6,1)-WEEKDAY(DATE($C$1,6,1))+8)),"")</f>
        <v>6</v>
      </c>
      <c r="J16" s="5">
        <f>IF(MONTH((DATE($C$1,6,1)-WEEKDAY(DATE($C$1,6,1))+9))=6,DAY((DATE($C$1,6,1)-WEEKDAY(DATE($C$1,6,1))+9)),"")</f>
        <v>7</v>
      </c>
      <c r="K16" s="5">
        <f>IF(MONTH((DATE($C$1,6,1)-WEEKDAY(DATE($C$1,6,1))+10))=6,DAY((DATE($C$1,6,1)-WEEKDAY(DATE($C$1,6,1))+10)),"")</f>
        <v>8</v>
      </c>
      <c r="L16" s="5">
        <f>IF(MONTH((DATE($C$1,6,1)-WEEKDAY(DATE($C$1,6,1))+11))=6,DAY((DATE($C$1,6,1)-WEEKDAY(DATE($C$1,6,1))+11)),"")</f>
        <v>9</v>
      </c>
      <c r="M16" s="5">
        <f>IF(MONTH((DATE($C$1,6,1)-WEEKDAY(DATE($C$1,6,1))+12))=6,DAY((DATE($C$1,6,1)-WEEKDAY(DATE($C$1,6,1))+12)),"")</f>
        <v>10</v>
      </c>
      <c r="N16" s="5">
        <f>IF(MONTH((DATE($C$1,6,1)-WEEKDAY(DATE($C$1,6,1))+13))=6,DAY((DATE($C$1,6,1)-WEEKDAY(DATE($C$1,6,1))+13)),"")</f>
        <v>11</v>
      </c>
      <c r="O16" s="5">
        <f>IF(MONTH((DATE($C$1,6,1)-WEEKDAY(DATE($C$1,6,1))+14))=6,DAY((DATE($C$1,6,1)-WEEKDAY(DATE($C$1,6,1))+14)),"")</f>
        <v>12</v>
      </c>
      <c r="Q16" s="5">
        <f>IF(MONTH((DATE($C$1,7,1)-WEEKDAY(DATE($C$1,7,1))+8))=7,DAY((DATE($C$1,7,1)-WEEKDAY(DATE($C$1,7,1))+8)),"")</f>
        <v>4</v>
      </c>
      <c r="R16" s="5">
        <f>IF(MONTH((DATE($C$1,7,1)-WEEKDAY(DATE($C$1,7,1))+9))=7,DAY((DATE($C$1,7,1)-WEEKDAY(DATE($C$1,7,1))+9)),"")</f>
        <v>5</v>
      </c>
      <c r="S16" s="5">
        <f>IF(MONTH((DATE($C$1,7,1)-WEEKDAY(DATE($C$1,7,1))+10))=7,DAY((DATE($C$1,7,1)-WEEKDAY(DATE($C$1,7,1))+10)),"")</f>
        <v>6</v>
      </c>
      <c r="T16" s="5">
        <f>IF(MONTH((DATE($C$1,7,1)-WEEKDAY(DATE($C$1,7,1))+11))=7,DAY((DATE($C$1,7,1)-WEEKDAY(DATE($C$1,7,1))+11)),"")</f>
        <v>7</v>
      </c>
      <c r="U16" s="5">
        <f>IF(MONTH((DATE($C$1,7,1)-WEEKDAY(DATE($C$1,7,1))+12))=7,DAY((DATE($C$1,7,1)-WEEKDAY(DATE($C$1,7,1))+12)),"")</f>
        <v>8</v>
      </c>
      <c r="V16" s="5">
        <f>IF(MONTH((DATE($C$1,7,1)-WEEKDAY(DATE($C$1,7,1))+13))=7,DAY((DATE($C$1,7,1)-WEEKDAY(DATE($C$1,7,1))+13)),"")</f>
        <v>9</v>
      </c>
      <c r="W16" s="5">
        <f>IF(MONTH((DATE($C$1,7,1)-WEEKDAY(DATE($C$1,7,1))+14))=7,DAY((DATE($C$1,7,1)-WEEKDAY(DATE($C$1,7,1))+14)),"")</f>
        <v>10</v>
      </c>
      <c r="Y16" s="5">
        <f>IF(MONTH((DATE($C$1,8,1)-WEEKDAY(DATE($C$1,8,1))+8))=8,DAY((DATE($C$1,8,1)-WEEKDAY(DATE($C$1,8,1))+8)),"")</f>
        <v>8</v>
      </c>
      <c r="Z16" s="5">
        <f>IF(MONTH((DATE($C$1,8,1)-WEEKDAY(DATE($C$1,8,1))+9))=8,DAY((DATE($C$1,8,1)-WEEKDAY(DATE($C$1,8,1))+9)),"")</f>
        <v>9</v>
      </c>
      <c r="AA16" s="5">
        <f>IF(MONTH((DATE($C$1,8,1)-WEEKDAY(DATE($C$1,8,1))+10))=8,DAY((DATE($C$1,8,1)-WEEKDAY(DATE($C$1,8,1))+10)),"")</f>
        <v>10</v>
      </c>
      <c r="AB16" s="5">
        <f>IF(MONTH((DATE($C$1,8,1)-WEEKDAY(DATE($C$1,8,1))+11))=8,DAY((DATE($C$1,8,1)-WEEKDAY(DATE($C$1,8,1))+11)),"")</f>
        <v>11</v>
      </c>
      <c r="AC16" s="5">
        <f>IF(MONTH((DATE($C$1,8,1)-WEEKDAY(DATE($C$1,8,1))+12))=8,DAY((DATE($C$1,8,1)-WEEKDAY(DATE($C$1,8,1))+12)),"")</f>
        <v>12</v>
      </c>
      <c r="AD16" s="5">
        <f>IF(MONTH((DATE($C$1,8,1)-WEEKDAY(DATE($C$1,8,1))+13))=8,DAY((DATE($C$1,8,1)-WEEKDAY(DATE($C$1,8,1))+13)),"")</f>
        <v>13</v>
      </c>
      <c r="AE16" s="5">
        <f>IF(MONTH((DATE($C$1,8,1)-WEEKDAY(DATE($C$1,8,1))+14))=8,DAY((DATE($C$1,8,1)-WEEKDAY(DATE($C$1,8,1))+14)),"")</f>
        <v>14</v>
      </c>
    </row>
    <row r="17" spans="1:31" ht="15.5" x14ac:dyDescent="0.45">
      <c r="A17" s="5">
        <f>IF(MONTH((DATE($C$1,5,1)-WEEKDAY(DATE($C$1,5,1))+15))=5,DAY((DATE($C$1,5,1)-WEEKDAY(DATE($C$1,5,1))+15)),"")</f>
        <v>9</v>
      </c>
      <c r="B17" s="5">
        <f>IF(MONTH((DATE($C$1,5,1)-WEEKDAY(DATE($C$1,5,1))+16))=5,DAY((DATE($C$1,5,1)-WEEKDAY(DATE($C$1,5,1))+16)),"")</f>
        <v>10</v>
      </c>
      <c r="C17" s="5">
        <f>IF(MONTH((DATE($C$1,5,1)-WEEKDAY(DATE($C$1,5,1))+17))=5,DAY((DATE($C$1,5,1)-WEEKDAY(DATE($C$1,5,1))+17)),"")</f>
        <v>11</v>
      </c>
      <c r="D17" s="5">
        <f>IF(MONTH((DATE($C$1,5,1)-WEEKDAY(DATE($C$1,5,1))+18))=5,DAY((DATE($C$1,5,1)-WEEKDAY(DATE($C$1,5,1))+18)),"")</f>
        <v>12</v>
      </c>
      <c r="E17" s="5">
        <f>IF(MONTH((DATE($C$1,5,1)-WEEKDAY(DATE($C$1,5,1))+19))=5,DAY((DATE($C$1,5,1)-WEEKDAY(DATE($C$1,5,1))+19)),"")</f>
        <v>13</v>
      </c>
      <c r="F17" s="5">
        <f>IF(MONTH((DATE($C$1,5,1)-WEEKDAY(DATE($C$1,5,1))+20))=5,DAY((DATE($C$1,5,1)-WEEKDAY(DATE($C$1,5,1))+20)),"")</f>
        <v>14</v>
      </c>
      <c r="G17" s="5">
        <f>IF(MONTH((DATE($C$1,5,1)-WEEKDAY(DATE($C$1,5,1))+21))=5,DAY((DATE($C$1,5,1)-WEEKDAY(DATE($C$1,5,1))+21)),"")</f>
        <v>15</v>
      </c>
      <c r="I17" s="5">
        <f>IF(MONTH((DATE($C$1,6,1)-WEEKDAY(DATE($C$1,6,1))+15))=6,DAY((DATE($C$1,6,1)-WEEKDAY(DATE($C$1,6,1))+15)),"")</f>
        <v>13</v>
      </c>
      <c r="J17" s="5">
        <f>IF(MONTH((DATE($C$1,6,1)-WEEKDAY(DATE($C$1,6,1))+16))=6,DAY((DATE($C$1,6,1)-WEEKDAY(DATE($C$1,6,1))+16)),"")</f>
        <v>14</v>
      </c>
      <c r="K17" s="5">
        <f>IF(MONTH((DATE($C$1,6,1)-WEEKDAY(DATE($C$1,6,1))+17))=6,DAY((DATE($C$1,6,1)-WEEKDAY(DATE($C$1,6,1))+17)),"")</f>
        <v>15</v>
      </c>
      <c r="L17" s="5">
        <f>IF(MONTH((DATE($C$1,6,1)-WEEKDAY(DATE($C$1,6,1))+18))=6,DAY((DATE($C$1,6,1)-WEEKDAY(DATE($C$1,6,1))+18)),"")</f>
        <v>16</v>
      </c>
      <c r="M17" s="5">
        <f>IF(MONTH((DATE($C$1,6,1)-WEEKDAY(DATE($C$1,6,1))+19))=6,DAY((DATE($C$1,6,1)-WEEKDAY(DATE($C$1,6,1))+19)),"")</f>
        <v>17</v>
      </c>
      <c r="N17" s="5">
        <f>IF(MONTH((DATE($C$1,6,1)-WEEKDAY(DATE($C$1,6,1))+20))=6,DAY((DATE($C$1,6,1)-WEEKDAY(DATE($C$1,6,1))+20)),"")</f>
        <v>18</v>
      </c>
      <c r="O17" s="5">
        <f>IF(MONTH((DATE($C$1,6,1)-WEEKDAY(DATE($C$1,6,1))+21))=6,DAY((DATE($C$1,6,1)-WEEKDAY(DATE($C$1,6,1))+21)),"")</f>
        <v>19</v>
      </c>
      <c r="Q17" s="5">
        <f>IF(MONTH((DATE($C$1,7,1)-WEEKDAY(DATE($C$1,7,1))+15))=7,DAY((DATE($C$1,7,1)-WEEKDAY(DATE($C$1,7,1))+15)),"")</f>
        <v>11</v>
      </c>
      <c r="R17" s="5">
        <f>IF(MONTH((DATE($C$1,7,1)-WEEKDAY(DATE($C$1,7,1))+16))=7,DAY((DATE($C$1,7,1)-WEEKDAY(DATE($C$1,7,1))+16)),"")</f>
        <v>12</v>
      </c>
      <c r="S17" s="5">
        <f>IF(MONTH((DATE($C$1,7,1)-WEEKDAY(DATE($C$1,7,1))+17))=7,DAY((DATE($C$1,7,1)-WEEKDAY(DATE($C$1,7,1))+17)),"")</f>
        <v>13</v>
      </c>
      <c r="T17" s="5">
        <f>IF(MONTH((DATE($C$1,7,1)-WEEKDAY(DATE($C$1,7,1))+18))=7,DAY((DATE($C$1,7,1)-WEEKDAY(DATE($C$1,7,1))+18)),"")</f>
        <v>14</v>
      </c>
      <c r="U17" s="5">
        <f>IF(MONTH((DATE($C$1,7,1)-WEEKDAY(DATE($C$1,7,1))+19))=7,DAY((DATE($C$1,7,1)-WEEKDAY(DATE($C$1,7,1))+19)),"")</f>
        <v>15</v>
      </c>
      <c r="V17" s="5">
        <f>IF(MONTH((DATE($C$1,7,1)-WEEKDAY(DATE($C$1,7,1))+20))=7,DAY((DATE($C$1,7,1)-WEEKDAY(DATE($C$1,7,1))+20)),"")</f>
        <v>16</v>
      </c>
      <c r="W17" s="5">
        <f>IF(MONTH((DATE($C$1,7,1)-WEEKDAY(DATE($C$1,7,1))+21))=7,DAY((DATE($C$1,7,1)-WEEKDAY(DATE($C$1,7,1))+21)),"")</f>
        <v>17</v>
      </c>
      <c r="Y17" s="5">
        <f>IF(MONTH((DATE($C$1,8,1)-WEEKDAY(DATE($C$1,8,1))+15))=8,DAY((DATE($C$1,8,1)-WEEKDAY(DATE($C$1,8,1))+15)),"")</f>
        <v>15</v>
      </c>
      <c r="Z17" s="5">
        <f>IF(MONTH((DATE($C$1,8,1)-WEEKDAY(DATE($C$1,8,1))+16))=8,DAY((DATE($C$1,8,1)-WEEKDAY(DATE($C$1,8,1))+16)),"")</f>
        <v>16</v>
      </c>
      <c r="AA17" s="5">
        <f>IF(MONTH((DATE($C$1,8,1)-WEEKDAY(DATE($C$1,8,1))+17))=8,DAY((DATE($C$1,8,1)-WEEKDAY(DATE($C$1,8,1))+17)),"")</f>
        <v>17</v>
      </c>
      <c r="AB17" s="5">
        <f>IF(MONTH((DATE($C$1,8,1)-WEEKDAY(DATE($C$1,8,1))+18))=8,DAY((DATE($C$1,8,1)-WEEKDAY(DATE($C$1,8,1))+18)),"")</f>
        <v>18</v>
      </c>
      <c r="AC17" s="5">
        <f>IF(MONTH((DATE($C$1,8,1)-WEEKDAY(DATE($C$1,8,1))+19))=8,DAY((DATE($C$1,8,1)-WEEKDAY(DATE($C$1,8,1))+19)),"")</f>
        <v>19</v>
      </c>
      <c r="AD17" s="5">
        <f>IF(MONTH((DATE($C$1,8,1)-WEEKDAY(DATE($C$1,8,1))+20))=8,DAY((DATE($C$1,8,1)-WEEKDAY(DATE($C$1,8,1))+20)),"")</f>
        <v>20</v>
      </c>
      <c r="AE17" s="5">
        <f>IF(MONTH((DATE($C$1,8,1)-WEEKDAY(DATE($C$1,8,1))+21))=8,DAY((DATE($C$1,8,1)-WEEKDAY(DATE($C$1,8,1))+21)),"")</f>
        <v>21</v>
      </c>
    </row>
    <row r="18" spans="1:31" ht="15.5" x14ac:dyDescent="0.45">
      <c r="A18" s="5">
        <f>IF(MONTH((DATE($C$1,5,1)-WEEKDAY(DATE($C$1,5,1))+22))=5,DAY((DATE($C$1,5,1)-WEEKDAY(DATE($C$1,5,1))+22)),"")</f>
        <v>16</v>
      </c>
      <c r="B18" s="5">
        <f>IF(MONTH((DATE($C$1,5,1)-WEEKDAY(DATE($C$1,5,1))+23))=5,DAY((DATE($C$1,5,1)-WEEKDAY(DATE($C$1,5,1))+23)),"")</f>
        <v>17</v>
      </c>
      <c r="C18" s="5">
        <f>IF(MONTH((DATE($C$1,5,1)-WEEKDAY(DATE($C$1,5,1))+24))=5,DAY((DATE($C$1,5,1)-WEEKDAY(DATE($C$1,5,1))+24)),"")</f>
        <v>18</v>
      </c>
      <c r="D18" s="5">
        <f>IF(MONTH((DATE($C$1,5,1)-WEEKDAY(DATE($C$1,5,1))+25))=5,DAY((DATE($C$1,5,1)-WEEKDAY(DATE($C$1,5,1))+25)),"")</f>
        <v>19</v>
      </c>
      <c r="E18" s="5">
        <f>IF(MONTH((DATE($C$1,5,1)-WEEKDAY(DATE($C$1,5,1))+26))=5,DAY((DATE($C$1,5,1)-WEEKDAY(DATE($C$1,5,1))+26)),"")</f>
        <v>20</v>
      </c>
      <c r="F18" s="5">
        <f>IF(MONTH((DATE($C$1,5,1)-WEEKDAY(DATE($C$1,5,1))+27))=5,DAY((DATE($C$1,5,1)-WEEKDAY(DATE($C$1,5,1))+27)),"")</f>
        <v>21</v>
      </c>
      <c r="G18" s="5">
        <f>IF(MONTH((DATE($C$1,5,1)-WEEKDAY(DATE($C$1,5,1))+28))=5,DAY((DATE($C$1,5,1)-WEEKDAY(DATE($C$1,5,1))+28)),"")</f>
        <v>22</v>
      </c>
      <c r="I18" s="5">
        <f>IF(MONTH((DATE($C$1,6,1)-WEEKDAY(DATE($C$1,6,1))+22))=6,DAY((DATE($C$1,6,1)-WEEKDAY(DATE($C$1,6,1))+22)),"")</f>
        <v>20</v>
      </c>
      <c r="J18" s="5">
        <f>IF(MONTH((DATE($C$1,6,1)-WEEKDAY(DATE($C$1,6,1))+23))=6,DAY((DATE($C$1,6,1)-WEEKDAY(DATE($C$1,6,1))+23)),"")</f>
        <v>21</v>
      </c>
      <c r="K18" s="5">
        <f>IF(MONTH((DATE($C$1,6,1)-WEEKDAY(DATE($C$1,6,1))+24))=6,DAY((DATE($C$1,6,1)-WEEKDAY(DATE($C$1,6,1))+24)),"")</f>
        <v>22</v>
      </c>
      <c r="L18" s="5">
        <f>IF(MONTH((DATE($C$1,6,1)-WEEKDAY(DATE($C$1,6,1))+25))=6,DAY((DATE($C$1,6,1)-WEEKDAY(DATE($C$1,6,1))+25)),"")</f>
        <v>23</v>
      </c>
      <c r="M18" s="5">
        <f>IF(MONTH((DATE($C$1,6,1)-WEEKDAY(DATE($C$1,6,1))+26))=6,DAY((DATE($C$1,6,1)-WEEKDAY(DATE($C$1,6,1))+26)),"")</f>
        <v>24</v>
      </c>
      <c r="N18" s="5">
        <f>IF(MONTH((DATE($C$1,6,1)-WEEKDAY(DATE($C$1,6,1))+27))=6,DAY((DATE($C$1,6,1)-WEEKDAY(DATE($C$1,6,1))+27)),"")</f>
        <v>25</v>
      </c>
      <c r="O18" s="5">
        <f>IF(MONTH((DATE($C$1,6,1)-WEEKDAY(DATE($C$1,6,1))+28))=6,DAY((DATE($C$1,6,1)-WEEKDAY(DATE($C$1,6,1))+28)),"")</f>
        <v>26</v>
      </c>
      <c r="Q18" s="5">
        <f>IF(MONTH((DATE($C$1,7,1)-WEEKDAY(DATE($C$1,7,1))+22))=7,DAY((DATE($C$1,7,1)-WEEKDAY(DATE($C$1,7,1))+22)),"")</f>
        <v>18</v>
      </c>
      <c r="R18" s="5">
        <f>IF(MONTH((DATE($C$1,7,1)-WEEKDAY(DATE($C$1,7,1))+23))=7,DAY((DATE($C$1,7,1)-WEEKDAY(DATE($C$1,7,1))+23)),"")</f>
        <v>19</v>
      </c>
      <c r="S18" s="5">
        <f>IF(MONTH((DATE($C$1,7,1)-WEEKDAY(DATE($C$1,7,1))+24))=7,DAY((DATE($C$1,7,1)-WEEKDAY(DATE($C$1,7,1))+24)),"")</f>
        <v>20</v>
      </c>
      <c r="T18" s="5">
        <f>IF(MONTH((DATE($C$1,7,1)-WEEKDAY(DATE($C$1,7,1))+25))=7,DAY((DATE($C$1,7,1)-WEEKDAY(DATE($C$1,7,1))+25)),"")</f>
        <v>21</v>
      </c>
      <c r="U18" s="5">
        <f>IF(MONTH((DATE($C$1,7,1)-WEEKDAY(DATE($C$1,7,1))+26))=7,DAY((DATE($C$1,7,1)-WEEKDAY(DATE($C$1,7,1))+26)),"")</f>
        <v>22</v>
      </c>
      <c r="V18" s="5">
        <f>IF(MONTH((DATE($C$1,7,1)-WEEKDAY(DATE($C$1,7,1))+27))=7,DAY((DATE($C$1,7,1)-WEEKDAY(DATE($C$1,7,1))+27)),"")</f>
        <v>23</v>
      </c>
      <c r="W18" s="5">
        <f>IF(MONTH((DATE($C$1,7,1)-WEEKDAY(DATE($C$1,7,1))+28))=7,DAY((DATE($C$1,7,1)-WEEKDAY(DATE($C$1,7,1))+28)),"")</f>
        <v>24</v>
      </c>
      <c r="Y18" s="5">
        <f>IF(MONTH((DATE($C$1,8,1)-WEEKDAY(DATE($C$1,8,1))+22))=8,DAY((DATE($C$1,8,1)-WEEKDAY(DATE($C$1,8,1))+22)),"")</f>
        <v>22</v>
      </c>
      <c r="Z18" s="5">
        <f>IF(MONTH((DATE($C$1,8,1)-WEEKDAY(DATE($C$1,8,1))+23))=8,DAY((DATE($C$1,8,1)-WEEKDAY(DATE($C$1,8,1))+23)),"")</f>
        <v>23</v>
      </c>
      <c r="AA18" s="5">
        <f>IF(MONTH((DATE($C$1,8,1)-WEEKDAY(DATE($C$1,8,1))+24))=8,DAY((DATE($C$1,8,1)-WEEKDAY(DATE($C$1,8,1))+24)),"")</f>
        <v>24</v>
      </c>
      <c r="AB18" s="5">
        <f>IF(MONTH((DATE($C$1,8,1)-WEEKDAY(DATE($C$1,8,1))+25))=8,DAY((DATE($C$1,8,1)-WEEKDAY(DATE($C$1,8,1))+25)),"")</f>
        <v>25</v>
      </c>
      <c r="AC18" s="5">
        <f>IF(MONTH((DATE($C$1,8,1)-WEEKDAY(DATE($C$1,8,1))+26))=8,DAY((DATE($C$1,8,1)-WEEKDAY(DATE($C$1,8,1))+26)),"")</f>
        <v>26</v>
      </c>
      <c r="AD18" s="5">
        <f>IF(MONTH((DATE($C$1,8,1)-WEEKDAY(DATE($C$1,8,1))+27))=8,DAY((DATE($C$1,8,1)-WEEKDAY(DATE($C$1,8,1))+27)),"")</f>
        <v>27</v>
      </c>
      <c r="AE18" s="5">
        <f>IF(MONTH((DATE($C$1,8,1)-WEEKDAY(DATE($C$1,8,1))+28))=8,DAY((DATE($C$1,8,1)-WEEKDAY(DATE($C$1,8,1))+28)),"")</f>
        <v>28</v>
      </c>
    </row>
    <row r="19" spans="1:31" ht="15.5" x14ac:dyDescent="0.45">
      <c r="A19" s="5">
        <f>IF(MONTH((DATE($C$1,5,1)-WEEKDAY(DATE($C$1,5,1))+29))=5,DAY((DATE($C$1,5,1)-WEEKDAY(DATE($C$1,5,1))+29)),"")</f>
        <v>23</v>
      </c>
      <c r="B19" s="5">
        <f>IF(MONTH((DATE($C$1,5,1)-WEEKDAY(DATE($C$1,5,1))+30))=5,DAY((DATE($C$1,5,1)-WEEKDAY(DATE($C$1,5,1))+30)),"")</f>
        <v>24</v>
      </c>
      <c r="C19" s="5">
        <f>IF(MONTH((DATE($C$1,5,1)-WEEKDAY(DATE($C$1,5,1))+31))=5,DAY((DATE($C$1,5,1)-WEEKDAY(DATE($C$1,5,1))+31)),"")</f>
        <v>25</v>
      </c>
      <c r="D19" s="5">
        <f>IF(MONTH((DATE($C$1,5,1)-WEEKDAY(DATE($C$1,5,1))+32))=5,DAY((DATE($C$1,5,1)-WEEKDAY(DATE($C$1,5,1))+32)),"")</f>
        <v>26</v>
      </c>
      <c r="E19" s="5">
        <f>IF(MONTH((DATE($C$1,5,1)-WEEKDAY(DATE($C$1,5,1))+33))=5,DAY((DATE($C$1,5,1)-WEEKDAY(DATE($C$1,5,1))+33)),"")</f>
        <v>27</v>
      </c>
      <c r="F19" s="5">
        <f>IF(MONTH((DATE($C$1,5,1)-WEEKDAY(DATE($C$1,5,1))+34))=5,DAY((DATE($C$1,5,1)-WEEKDAY(DATE($C$1,5,1))+34)),"")</f>
        <v>28</v>
      </c>
      <c r="G19" s="5">
        <f>IF(MONTH((DATE($C$1,5,1)-WEEKDAY(DATE($C$1,5,1))+35))=5,DAY((DATE($C$1,5,1)-WEEKDAY(DATE($C$1,5,1))+35)),"")</f>
        <v>29</v>
      </c>
      <c r="I19" s="5">
        <f>IF(MONTH((DATE($C$1,6,1)-WEEKDAY(DATE($C$1,6,1))+29))=6,DAY((DATE($C$1,6,1)-WEEKDAY(DATE($C$1,6,1))+29)),"")</f>
        <v>27</v>
      </c>
      <c r="J19" s="5">
        <f>IF(MONTH((DATE($C$1,6,1)-WEEKDAY(DATE($C$1,6,1))+30))=6,DAY((DATE($C$1,6,1)-WEEKDAY(DATE($C$1,6,1))+30)),"")</f>
        <v>28</v>
      </c>
      <c r="K19" s="5">
        <f>IF(MONTH((DATE($C$1,6,1)-WEEKDAY(DATE($C$1,6,1))+31))=6,DAY((DATE($C$1,6,1)-WEEKDAY(DATE($C$1,6,1))+31)),"")</f>
        <v>29</v>
      </c>
      <c r="L19" s="5">
        <f>IF(MONTH((DATE($C$1,6,1)-WEEKDAY(DATE($C$1,6,1))+32))=6,DAY((DATE($C$1,6,1)-WEEKDAY(DATE($C$1,6,1))+32)),"")</f>
        <v>30</v>
      </c>
      <c r="M19" s="5" t="str">
        <f>IF(MONTH((DATE($C$1,6,1)-WEEKDAY(DATE($C$1,6,1))+33))=6,DAY((DATE($C$1,6,1)-WEEKDAY(DATE($C$1,6,1))+33)),"")</f>
        <v/>
      </c>
      <c r="N19" s="5" t="str">
        <f>IF(MONTH((DATE($C$1,6,1)-WEEKDAY(DATE($C$1,6,1))+34))=6,DAY((DATE($C$1,6,1)-WEEKDAY(DATE($C$1,6,1))+34)),"")</f>
        <v/>
      </c>
      <c r="O19" s="5" t="str">
        <f>IF(MONTH((DATE($C$1,6,1)-WEEKDAY(DATE($C$1,6,1))+35))=6,DAY((DATE($C$1,6,1)-WEEKDAY(DATE($C$1,6,1))+35)),"")</f>
        <v/>
      </c>
      <c r="Q19" s="5">
        <f>IF(MONTH((DATE($C$1,7,1)-WEEKDAY(DATE($C$1,7,1))+29))=7,DAY((DATE($C$1,7,1)-WEEKDAY(DATE($C$1,7,1))+29)),"")</f>
        <v>25</v>
      </c>
      <c r="R19" s="5">
        <f>IF(MONTH((DATE($C$1,7,1)-WEEKDAY(DATE($C$1,7,1))+30))=7,DAY((DATE($C$1,7,1)-WEEKDAY(DATE($C$1,7,1))+30)),"")</f>
        <v>26</v>
      </c>
      <c r="S19" s="5">
        <f>IF(MONTH((DATE($C$1,7,1)-WEEKDAY(DATE($C$1,7,1))+31))=7,DAY((DATE($C$1,7,1)-WEEKDAY(DATE($C$1,7,1))+31)),"")</f>
        <v>27</v>
      </c>
      <c r="T19" s="5">
        <f>IF(MONTH((DATE($C$1,7,1)-WEEKDAY(DATE($C$1,7,1))+32))=7,DAY((DATE($C$1,7,1)-WEEKDAY(DATE($C$1,7,1))+32)),"")</f>
        <v>28</v>
      </c>
      <c r="U19" s="5">
        <f>IF(MONTH((DATE($C$1,7,1)-WEEKDAY(DATE($C$1,7,1))+33))=7,DAY((DATE($C$1,7,1)-WEEKDAY(DATE($C$1,7,1))+33)),"")</f>
        <v>29</v>
      </c>
      <c r="V19" s="5">
        <f>IF(MONTH((DATE($C$1,7,1)-WEEKDAY(DATE($C$1,7,1))+34))=7,DAY((DATE($C$1,7,1)-WEEKDAY(DATE($C$1,7,1))+34)),"")</f>
        <v>30</v>
      </c>
      <c r="W19" s="5">
        <f>IF(MONTH((DATE($C$1,7,1)-WEEKDAY(DATE($C$1,7,1))+35))=7,DAY((DATE($C$1,7,1)-WEEKDAY(DATE($C$1,7,1))+35)),"")</f>
        <v>31</v>
      </c>
      <c r="Y19" s="5">
        <f>IF(MONTH((DATE($C$1,8,1)-WEEKDAY(DATE($C$1,8,1))+29))=8,DAY((DATE($C$1,8,1)-WEEKDAY(DATE($C$1,8,1))+29)),"")</f>
        <v>29</v>
      </c>
      <c r="Z19" s="5">
        <f>IF(MONTH((DATE($C$1,8,1)-WEEKDAY(DATE($C$1,8,1))+30))=8,DAY((DATE($C$1,8,1)-WEEKDAY(DATE($C$1,8,1))+30)),"")</f>
        <v>30</v>
      </c>
      <c r="AA19" s="5">
        <f>IF(MONTH((DATE($C$1,8,1)-WEEKDAY(DATE($C$1,8,1))+31))=8,DAY((DATE($C$1,8,1)-WEEKDAY(DATE($C$1,8,1))+31)),"")</f>
        <v>31</v>
      </c>
      <c r="AB19" s="5" t="str">
        <f>IF(MONTH((DATE($C$1,8,1)-WEEKDAY(DATE($C$1,8,1))+32))=8,DAY((DATE($C$1,8,1)-WEEKDAY(DATE($C$1,8,1))+32)),"")</f>
        <v/>
      </c>
      <c r="AC19" s="5" t="str">
        <f>IF(MONTH((DATE($C$1,8,1)-WEEKDAY(DATE($C$1,8,1))+33))=8,DAY((DATE($C$1,8,1)-WEEKDAY(DATE($C$1,8,1))+33)),"")</f>
        <v/>
      </c>
      <c r="AD19" s="5" t="str">
        <f>IF(MONTH((DATE($C$1,8,1)-WEEKDAY(DATE($C$1,8,1))+34))=8,DAY((DATE($C$1,8,1)-WEEKDAY(DATE($C$1,8,1))+34)),"")</f>
        <v/>
      </c>
      <c r="AE19" s="5" t="str">
        <f>IF(MONTH((DATE($C$1,8,1)-WEEKDAY(DATE($C$1,8,1))+35))=8,DAY((DATE($C$1,8,1)-WEEKDAY(DATE($C$1,8,1))+35)),"")</f>
        <v/>
      </c>
    </row>
    <row r="20" spans="1:31" ht="15.5" x14ac:dyDescent="0.45">
      <c r="A20" s="5">
        <f>IF(MONTH((DATE($C$1,5,1)-WEEKDAY(DATE($C$1,5,1))+36))=5,DAY((DATE($C$1,5,1)-WEEKDAY(DATE($C$1,5,1))+36)),"")</f>
        <v>30</v>
      </c>
      <c r="B20" s="5">
        <f>IF(MONTH((DATE($C$1,5,1)-WEEKDAY(DATE($C$1,5,1))+37))=5,DAY((DATE($C$1,5,1)-WEEKDAY(DATE($C$1,5,1))+37)),"")</f>
        <v>31</v>
      </c>
      <c r="C20" s="5" t="str">
        <f>IF(MONTH((DATE($C$1,5,1)-WEEKDAY(DATE($C$1,5,1))+38))=5,DAY((DATE($C$1,5,1)-WEEKDAY(DATE($C$1,5,1))+38)),"")</f>
        <v/>
      </c>
      <c r="D20" s="5" t="str">
        <f>IF(MONTH((DATE($C$1,5,1)-WEEKDAY(DATE($C$1,5,1))+39))=5,DAY((DATE($C$1,5,1)-WEEKDAY(DATE($C$1,5,1))+39)),"")</f>
        <v/>
      </c>
      <c r="E20" s="5" t="str">
        <f>IF(MONTH((DATE($C$1,5,1)-WEEKDAY(DATE($C$1,5,1))+40))=5,DAY((DATE($C$1,5,1)-WEEKDAY(DATE($C$1,5,1))+40)),"")</f>
        <v/>
      </c>
      <c r="F20" s="5" t="str">
        <f>IF(MONTH((DATE($C$1,5,1)-WEEKDAY(DATE($C$1,5,1))+41))=5,DAY((DATE($C$1,5,1)-WEEKDAY(DATE($C$1,5,1))+41)),"")</f>
        <v/>
      </c>
      <c r="G20" s="5" t="str">
        <f>IF(MONTH((DATE($C$1,5,1)-WEEKDAY(DATE($C$1,5,1))+42))=5,DAY((DATE($C$1,5,1)-WEEKDAY(DATE($C$1,5,1))+42)),"")</f>
        <v/>
      </c>
      <c r="I20" s="5" t="str">
        <f>IF(MONTH((DATE($C$1,6,1)-WEEKDAY(DATE($C$1,6,1))+36))=6,DAY((DATE($C$1,6,1)-WEEKDAY(DATE($C$1,6,1))+36)),"")</f>
        <v/>
      </c>
      <c r="J20" s="5" t="str">
        <f>IF(MONTH((DATE($C$1,6,1)-WEEKDAY(DATE($C$1,6,1))+37))=6,DAY((DATE($C$1,6,1)-WEEKDAY(DATE($C$1,6,1))+37)),"")</f>
        <v/>
      </c>
      <c r="K20" s="5" t="str">
        <f>IF(MONTH((DATE($C$1,6,1)-WEEKDAY(DATE($C$1,6,1))+38))=6,DAY((DATE($C$1,6,1)-WEEKDAY(DATE($C$1,6,1))+38)),"")</f>
        <v/>
      </c>
      <c r="L20" s="5" t="str">
        <f>IF(MONTH((DATE($C$1,6,1)-WEEKDAY(DATE($C$1,6,1))+39))=6,DAY((DATE($C$1,6,1)-WEEKDAY(DATE($C$1,6,1))+39)),"")</f>
        <v/>
      </c>
      <c r="M20" s="5" t="str">
        <f>IF(MONTH((DATE($C$1,6,1)-WEEKDAY(DATE($C$1,6,1))+40))=6,DAY((DATE($C$1,6,1)-WEEKDAY(DATE($C$1,6,1))+40)),"")</f>
        <v/>
      </c>
      <c r="N20" s="5" t="str">
        <f>IF(MONTH((DATE($C$1,6,1)-WEEKDAY(DATE($C$1,6,1))+41))=6,DAY((DATE($C$1,6,1)-WEEKDAY(DATE($C$1,6,1))+41)),"")</f>
        <v/>
      </c>
      <c r="O20" s="5" t="str">
        <f>IF(MONTH((DATE($C$1,6,1)-WEEKDAY(DATE($C$1,6,1))+42))=6,DAY((DATE($C$1,6,1)-WEEKDAY(DATE($C$1,6,1))+42)),"")</f>
        <v/>
      </c>
      <c r="Q20" s="5" t="str">
        <f>IF(MONTH((DATE($C$1,7,1)-WEEKDAY(DATE($C$1,7,1))+36))=7,DAY((DATE($C$1,7,1)-WEEKDAY(DATE($C$1,7,1))+36)),"")</f>
        <v/>
      </c>
      <c r="R20" s="5" t="str">
        <f>IF(MONTH((DATE($C$1,7,1)-WEEKDAY(DATE($C$1,7,1))+37))=7,DAY((DATE($C$1,7,1)-WEEKDAY(DATE($C$1,7,1))+37)),"")</f>
        <v/>
      </c>
      <c r="S20" s="5" t="str">
        <f>IF(MONTH((DATE($C$1,7,1)-WEEKDAY(DATE($C$1,7,1))+38))=7,DAY((DATE($C$1,7,1)-WEEKDAY(DATE($C$1,7,1))+38)),"")</f>
        <v/>
      </c>
      <c r="T20" s="5" t="str">
        <f>IF(MONTH((DATE($C$1,7,1)-WEEKDAY(DATE($C$1,7,1))+39))=7,DAY((DATE($C$1,7,1)-WEEKDAY(DATE($C$1,7,1))+39)),"")</f>
        <v/>
      </c>
      <c r="U20" s="5" t="str">
        <f>IF(MONTH((DATE($C$1,7,1)-WEEKDAY(DATE($C$1,7,1))+40))=7,DAY((DATE($C$1,7,1)-WEEKDAY(DATE($C$1,7,1))+40)),"")</f>
        <v/>
      </c>
      <c r="V20" s="5" t="str">
        <f>IF(MONTH((DATE($C$1,7,1)-WEEKDAY(DATE($C$1,7,1))+41))=7,DAY((DATE($C$1,7,1)-WEEKDAY(DATE($C$1,7,1))+41)),"")</f>
        <v/>
      </c>
      <c r="W20" s="5" t="str">
        <f>IF(MONTH((DATE($C$1,7,1)-WEEKDAY(DATE($C$1,7,1))+42))=7,DAY((DATE($C$1,7,1)-WEEKDAY(DATE($C$1,7,1))+42)),"")</f>
        <v/>
      </c>
      <c r="Y20" s="5" t="str">
        <f>IF(MONTH((DATE($C$1,8,1)-WEEKDAY(DATE($C$1,8,1))+36))=8,DAY((DATE($C$1,8,1)-WEEKDAY(DATE($C$1,8,1))+36)),"")</f>
        <v/>
      </c>
      <c r="Z20" s="5" t="str">
        <f>IF(MONTH((DATE($C$1,8,1)-WEEKDAY(DATE($C$1,8,1))+37))=8,DAY((DATE($C$1,8,1)-WEEKDAY(DATE($C$1,8,1))+37)),"")</f>
        <v/>
      </c>
      <c r="AA20" s="5" t="str">
        <f>IF(MONTH((DATE($C$1,8,1)-WEEKDAY(DATE($C$1,8,1))+38))=8,DAY((DATE($C$1,8,1)-WEEKDAY(DATE($C$1,8,1))+38)),"")</f>
        <v/>
      </c>
      <c r="AB20" s="5" t="str">
        <f>IF(MONTH((DATE($C$1,8,1)-WEEKDAY(DATE($C$1,8,1))+39))=8,DAY((DATE($C$1,8,1)-WEEKDAY(DATE($C$1,8,1))+39)),"")</f>
        <v/>
      </c>
      <c r="AC20" s="5" t="str">
        <f>IF(MONTH((DATE($C$1,8,1)-WEEKDAY(DATE($C$1,8,1))+40))=8,DAY((DATE($C$1,8,1)-WEEKDAY(DATE($C$1,8,1))+40)),"")</f>
        <v/>
      </c>
      <c r="AD20" s="5" t="str">
        <f>IF(MONTH((DATE($C$1,8,1)-WEEKDAY(DATE($C$1,8,1))+41))=8,DAY((DATE($C$1,8,1)-WEEKDAY(DATE($C$1,8,1))+41)),"")</f>
        <v/>
      </c>
      <c r="AE20" s="5" t="str">
        <f>IF(MONTH((DATE($C$1,8,1)-WEEKDAY(DATE($C$1,8,1))+42))=8,DAY((DATE($C$1,8,1)-WEEKDAY(DATE($C$1,8,1))+42)),"")</f>
        <v/>
      </c>
    </row>
    <row r="23" spans="1:31" ht="20" x14ac:dyDescent="0.6">
      <c r="A23" s="13" t="s">
        <v>17</v>
      </c>
      <c r="B23" s="14"/>
      <c r="C23" s="14"/>
      <c r="D23" s="14"/>
      <c r="E23" s="14"/>
      <c r="F23" s="14"/>
      <c r="G23" s="14"/>
      <c r="I23" s="13" t="s">
        <v>18</v>
      </c>
      <c r="J23" s="14"/>
      <c r="K23" s="14"/>
      <c r="L23" s="14"/>
      <c r="M23" s="14"/>
      <c r="N23" s="14"/>
      <c r="O23" s="14"/>
      <c r="Q23" s="13" t="s">
        <v>19</v>
      </c>
      <c r="R23" s="14"/>
      <c r="S23" s="14"/>
      <c r="T23" s="14"/>
      <c r="U23" s="14"/>
      <c r="V23" s="14"/>
      <c r="W23" s="14"/>
      <c r="Y23" s="13" t="s">
        <v>20</v>
      </c>
      <c r="Z23" s="14"/>
      <c r="AA23" s="14"/>
      <c r="AB23" s="14"/>
      <c r="AC23" s="14"/>
      <c r="AD23" s="14"/>
      <c r="AE23" s="14"/>
    </row>
    <row r="24" spans="1:31" ht="15" x14ac:dyDescent="0.4">
      <c r="A24" s="2" t="s">
        <v>6</v>
      </c>
      <c r="B24" s="3" t="s">
        <v>7</v>
      </c>
      <c r="C24" s="3" t="s">
        <v>8</v>
      </c>
      <c r="D24" s="3" t="s">
        <v>9</v>
      </c>
      <c r="E24" s="3" t="s">
        <v>10</v>
      </c>
      <c r="F24" s="3" t="s">
        <v>11</v>
      </c>
      <c r="G24" s="4" t="s">
        <v>12</v>
      </c>
      <c r="I24" s="2" t="s">
        <v>6</v>
      </c>
      <c r="J24" s="3" t="s">
        <v>7</v>
      </c>
      <c r="K24" s="3" t="s">
        <v>8</v>
      </c>
      <c r="L24" s="3" t="s">
        <v>9</v>
      </c>
      <c r="M24" s="3" t="s">
        <v>10</v>
      </c>
      <c r="N24" s="3" t="s">
        <v>11</v>
      </c>
      <c r="O24" s="4" t="s">
        <v>12</v>
      </c>
      <c r="Q24" s="2" t="s">
        <v>6</v>
      </c>
      <c r="R24" s="3" t="s">
        <v>7</v>
      </c>
      <c r="S24" s="3" t="s">
        <v>8</v>
      </c>
      <c r="T24" s="3" t="s">
        <v>9</v>
      </c>
      <c r="U24" s="3" t="s">
        <v>10</v>
      </c>
      <c r="V24" s="3" t="s">
        <v>11</v>
      </c>
      <c r="W24" s="4" t="s">
        <v>12</v>
      </c>
      <c r="Y24" s="2" t="s">
        <v>6</v>
      </c>
      <c r="Z24" s="3" t="s">
        <v>7</v>
      </c>
      <c r="AA24" s="3" t="s">
        <v>8</v>
      </c>
      <c r="AB24" s="3" t="s">
        <v>9</v>
      </c>
      <c r="AC24" s="3" t="s">
        <v>10</v>
      </c>
      <c r="AD24" s="3" t="s">
        <v>11</v>
      </c>
      <c r="AE24" s="4" t="s">
        <v>12</v>
      </c>
    </row>
    <row r="25" spans="1:31" ht="15.5" x14ac:dyDescent="0.45">
      <c r="A25" s="5" t="str">
        <f>IF(MONTH((DATE($C$1,9,1)-WEEKDAY(DATE($C$1,9,1))+1))=9,DAY((DATE($C$1,9,1)-WEEKDAY(DATE($C$1,9,1))+1)),"")</f>
        <v/>
      </c>
      <c r="B25" s="5" t="str">
        <f>IF(MONTH((DATE($C$1,9,1)-WEEKDAY(DATE($C$1,9,1))+2))=9,DAY((DATE($C$1,9,1)-WEEKDAY(DATE($C$1,9,1))+2)),"")</f>
        <v/>
      </c>
      <c r="C25" s="5" t="str">
        <f>IF(MONTH((DATE($C$1,9,1)-WEEKDAY(DATE($C$1,9,1))+3))=9,DAY((DATE($C$1,9,1)-WEEKDAY(DATE($C$1,9,1))+3)),"")</f>
        <v/>
      </c>
      <c r="D25" s="5">
        <f>IF(MONTH((DATE($C$1,9,1)-WEEKDAY(DATE($C$1,9,1))+4))=9,DAY((DATE($C$1,9,1)-WEEKDAY(DATE($C$1,9,1))+4)),"")</f>
        <v>1</v>
      </c>
      <c r="E25" s="5">
        <f>IF(MONTH((DATE($C$1,9,1)-WEEKDAY(DATE($C$1,9,1))+5))=9,DAY((DATE($C$1,9,1)-WEEKDAY(DATE($C$1,9,1))+5)),"")</f>
        <v>2</v>
      </c>
      <c r="F25" s="5">
        <f>IF(MONTH((DATE($C$1,9,1)-WEEKDAY(DATE($C$1,9,1))+6))=9,DAY((DATE($C$1,9,1)-WEEKDAY(DATE($C$1,9,1))+6)),"")</f>
        <v>3</v>
      </c>
      <c r="G25" s="5">
        <f>IF(MONTH((DATE($C$1,9,1)-WEEKDAY(DATE($C$1,9,1))+7))=9,DAY((DATE($C$1,9,1)-WEEKDAY(DATE($C$1,9,1))+7)),"")</f>
        <v>4</v>
      </c>
      <c r="I25" s="5" t="str">
        <f>IF(MONTH((DATE($C$1,10,1)-WEEKDAY(DATE($C$1,10,1))+1))=10,DAY((DATE($C$1,10,1)-WEEKDAY(DATE($C$1,10,1))+1)),"")</f>
        <v/>
      </c>
      <c r="J25" s="5" t="str">
        <f>IF(MONTH((DATE($C$1,10,1)-WEEKDAY(DATE($C$1,10,1))+2))=10,DAY((DATE($C$1,10,1)-WEEKDAY(DATE($C$1,10,1))+2)),"")</f>
        <v/>
      </c>
      <c r="K25" s="5" t="str">
        <f>IF(MONTH((DATE($C$1,10,1)-WEEKDAY(DATE($C$1,10,1))+3))=10,DAY((DATE($C$1,10,1)-WEEKDAY(DATE($C$1,10,1))+3)),"")</f>
        <v/>
      </c>
      <c r="L25" s="5" t="str">
        <f>IF(MONTH((DATE($C$1,10,1)-WEEKDAY(DATE($C$1,10,1))+4))=10,DAY((DATE($C$1,10,1)-WEEKDAY(DATE($C$1,10,1))+4)),"")</f>
        <v/>
      </c>
      <c r="M25" s="5" t="str">
        <f>IF(MONTH((DATE($C$1,10,1)-WEEKDAY(DATE($C$1,10,1))+5))=10,DAY((DATE($C$1,10,1)-WEEKDAY(DATE($C$1,10,1))+5)),"")</f>
        <v/>
      </c>
      <c r="N25" s="5">
        <f>IF(MONTH((DATE($C$1,10,1)-WEEKDAY(DATE($C$1,10,1))+6))=10,DAY((DATE($C$1,10,1)-WEEKDAY(DATE($C$1,10,1))+6)),"")</f>
        <v>1</v>
      </c>
      <c r="O25" s="5">
        <f>IF(MONTH((DATE($C$1,10,1)-WEEKDAY(DATE($C$1,10,1))+7))=10,DAY((DATE($C$1,10,1)-WEEKDAY(DATE($C$1,10,1))+7)),"")</f>
        <v>2</v>
      </c>
      <c r="Q25" s="5" t="str">
        <f>IF(MONTH((DATE($C$1,11,1)-WEEKDAY(DATE($C$1,11,1))+1))=11,DAY((DATE($C$1,11,1)-WEEKDAY(DATE($C$1,11,1))+1)),"")</f>
        <v/>
      </c>
      <c r="R25" s="5">
        <f>IF(MONTH((DATE($C$1,11,1)-WEEKDAY(DATE($C$1,11,1))+2))=11,DAY((DATE($C$1,11,1)-WEEKDAY(DATE($C$1,11,1))+2)),"")</f>
        <v>1</v>
      </c>
      <c r="S25" s="5">
        <f>IF(MONTH((DATE($C$1,11,1)-WEEKDAY(DATE($C$1,11,1))+3))=11,DAY((DATE($C$1,11,1)-WEEKDAY(DATE($C$1,11,1))+3)),"")</f>
        <v>2</v>
      </c>
      <c r="T25" s="5">
        <f>IF(MONTH((DATE($C$1,11,1)-WEEKDAY(DATE($C$1,11,1))+4))=11,DAY((DATE($C$1,11,1)-WEEKDAY(DATE($C$1,11,1))+4)),"")</f>
        <v>3</v>
      </c>
      <c r="U25" s="5">
        <f>IF(MONTH((DATE($C$1,11,1)-WEEKDAY(DATE($C$1,11,1))+5))=11,DAY((DATE($C$1,11,1)-WEEKDAY(DATE($C$1,11,1))+5)),"")</f>
        <v>4</v>
      </c>
      <c r="V25" s="5">
        <f>IF(MONTH((DATE($C$1,11,1)-WEEKDAY(DATE($C$1,11,1))+6))=11,DAY((DATE($C$1,11,1)-WEEKDAY(DATE($C$1,11,1))+6)),"")</f>
        <v>5</v>
      </c>
      <c r="W25" s="5">
        <f>IF(MONTH((DATE($C$1,11,1)-WEEKDAY(DATE($C$1,11,1))+7))=11,DAY((DATE($C$1,11,1)-WEEKDAY(DATE($C$1,11,1))+7)),"")</f>
        <v>6</v>
      </c>
      <c r="Y25" s="5" t="str">
        <f>IF(MONTH((DATE($C$1,12,1)-WEEKDAY(DATE($C$1,12,1))+1))=12,DAY((DATE($C$1,12,1)-WEEKDAY(DATE($C$1,12,1))+1)),"")</f>
        <v/>
      </c>
      <c r="Z25" s="5" t="str">
        <f>IF(MONTH((DATE($C$1,12,1)-WEEKDAY(DATE($C$1,12,1))+2))=12,DAY((DATE($C$1,12,1)-WEEKDAY(DATE($C$1,12,1))+2)),"")</f>
        <v/>
      </c>
      <c r="AA25" s="5" t="str">
        <f>IF(MONTH((DATE($C$1,12,1)-WEEKDAY(DATE($C$1,12,1))+3))=12,DAY((DATE($C$1,12,1)-WEEKDAY(DATE($C$1,12,1))+3)),"")</f>
        <v/>
      </c>
      <c r="AB25" s="5">
        <f>IF(MONTH((DATE($C$1,12,1)-WEEKDAY(DATE($C$1,12,1))+4))=12,DAY((DATE($C$1,12,1)-WEEKDAY(DATE($C$1,12,1))+4)),"")</f>
        <v>1</v>
      </c>
      <c r="AC25" s="5">
        <f>IF(MONTH((DATE($C$1,12,1)-WEEKDAY(DATE($C$1,12,1))+5))=12,DAY((DATE($C$1,12,1)-WEEKDAY(DATE($C$1,12,1))+5)),"")</f>
        <v>2</v>
      </c>
      <c r="AD25" s="5">
        <f>IF(MONTH((DATE($C$1,12,1)-WEEKDAY(DATE($C$1,12,1))+6))=12,DAY((DATE($C$1,12,1)-WEEKDAY(DATE($C$1,12,1))+6)),"")</f>
        <v>3</v>
      </c>
      <c r="AE25" s="5">
        <f>IF(MONTH((DATE($C$1,12,1)-WEEKDAY(DATE($C$1,12,1))+7))=12,DAY((DATE($C$1,12,1)-WEEKDAY(DATE($C$1,12,1))+7)),"")</f>
        <v>4</v>
      </c>
    </row>
    <row r="26" spans="1:31" ht="15.5" x14ac:dyDescent="0.45">
      <c r="A26" s="5">
        <f>IF(MONTH((DATE($C$1,9,1)-WEEKDAY(DATE($C$1,9,1))+8))=9,DAY((DATE($C$1,9,1)-WEEKDAY(DATE($C$1,9,1))+8)),"")</f>
        <v>5</v>
      </c>
      <c r="B26" s="5">
        <f>IF(MONTH((DATE($C$1,9,1)-WEEKDAY(DATE($C$1,9,1))+9))=9,DAY((DATE($C$1,9,1)-WEEKDAY(DATE($C$1,9,1))+9)),"")</f>
        <v>6</v>
      </c>
      <c r="C26" s="5">
        <f>IF(MONTH((DATE($C$1,9,1)-WEEKDAY(DATE($C$1,9,1))+10))=9,DAY((DATE($C$1,9,1)-WEEKDAY(DATE($C$1,9,1))+10)),"")</f>
        <v>7</v>
      </c>
      <c r="D26" s="5">
        <f>IF(MONTH((DATE($C$1,9,1)-WEEKDAY(DATE($C$1,9,1))+11))=9,DAY((DATE($C$1,9,1)-WEEKDAY(DATE($C$1,9,1))+11)),"")</f>
        <v>8</v>
      </c>
      <c r="E26" s="5">
        <f>IF(MONTH((DATE($C$1,9,1)-WEEKDAY(DATE($C$1,9,1))+12))=9,DAY((DATE($C$1,9,1)-WEEKDAY(DATE($C$1,9,1))+12)),"")</f>
        <v>9</v>
      </c>
      <c r="F26" s="5">
        <f>IF(MONTH((DATE($C$1,9,1)-WEEKDAY(DATE($C$1,9,1))+13))=9,DAY((DATE($C$1,9,1)-WEEKDAY(DATE($C$1,9,1))+13)),"")</f>
        <v>10</v>
      </c>
      <c r="G26" s="5">
        <f>IF(MONTH((DATE($C$1,9,1)-WEEKDAY(DATE($C$1,9,1))+14))=9,DAY((DATE($C$1,9,1)-WEEKDAY(DATE($C$1,9,1))+14)),"")</f>
        <v>11</v>
      </c>
      <c r="I26" s="5">
        <f>IF(MONTH((DATE($C$1,10,1)-WEEKDAY(DATE($C$1,10,1))+8))=10,DAY((DATE($C$1,10,1)-WEEKDAY(DATE($C$1,10,1))+8)),"")</f>
        <v>3</v>
      </c>
      <c r="J26" s="5">
        <f>IF(MONTH((DATE($C$1,10,1)-WEEKDAY(DATE($C$1,10,1))+9))=10,DAY((DATE($C$1,10,1)-WEEKDAY(DATE($C$1,10,1))+9)),"")</f>
        <v>4</v>
      </c>
      <c r="K26" s="5">
        <f>IF(MONTH((DATE($C$1,10,1)-WEEKDAY(DATE($C$1,10,1))+10))=10,DAY((DATE($C$1,10,1)-WEEKDAY(DATE($C$1,10,1))+10)),"")</f>
        <v>5</v>
      </c>
      <c r="L26" s="5">
        <f>IF(MONTH((DATE($C$1,10,1)-WEEKDAY(DATE($C$1,10,1))+11))=10,DAY((DATE($C$1,10,1)-WEEKDAY(DATE($C$1,10,1))+11)),"")</f>
        <v>6</v>
      </c>
      <c r="M26" s="5">
        <f>IF(MONTH((DATE($C$1,10,1)-WEEKDAY(DATE($C$1,10,1))+12))=10,DAY((DATE($C$1,10,1)-WEEKDAY(DATE($C$1,10,1))+12)),"")</f>
        <v>7</v>
      </c>
      <c r="N26" s="5">
        <f>IF(MONTH((DATE($C$1,10,1)-WEEKDAY(DATE($C$1,10,1))+13))=10,DAY((DATE($C$1,10,1)-WEEKDAY(DATE($C$1,10,1))+13)),"")</f>
        <v>8</v>
      </c>
      <c r="O26" s="5">
        <f>IF(MONTH((DATE($C$1,10,1)-WEEKDAY(DATE($C$1,10,1))+14))=10,DAY((DATE($C$1,10,1)-WEEKDAY(DATE($C$1,10,1))+14)),"")</f>
        <v>9</v>
      </c>
      <c r="Q26" s="5">
        <f>IF(MONTH((DATE($C$1,11,1)-WEEKDAY(DATE($C$1,11,1))+8))=11,DAY((DATE($C$1,11,1)-WEEKDAY(DATE($C$1,11,1))+8)),"")</f>
        <v>7</v>
      </c>
      <c r="R26" s="5">
        <f>IF(MONTH((DATE($C$1,11,1)-WEEKDAY(DATE($C$1,11,1))+9))=11,DAY((DATE($C$1,11,1)-WEEKDAY(DATE($C$1,11,1))+9)),"")</f>
        <v>8</v>
      </c>
      <c r="S26" s="5">
        <f>IF(MONTH((DATE($C$1,11,1)-WEEKDAY(DATE($C$1,11,1))+10))=11,DAY((DATE($C$1,11,1)-WEEKDAY(DATE($C$1,11,1))+10)),"")</f>
        <v>9</v>
      </c>
      <c r="T26" s="5">
        <f>IF(MONTH((DATE($C$1,11,1)-WEEKDAY(DATE($C$1,11,1))+11))=11,DAY((DATE($C$1,11,1)-WEEKDAY(DATE($C$1,11,1))+11)),"")</f>
        <v>10</v>
      </c>
      <c r="U26" s="5">
        <f>IF(MONTH((DATE($C$1,11,1)-WEEKDAY(DATE($C$1,11,1))+12))=11,DAY((DATE($C$1,11,1)-WEEKDAY(DATE($C$1,11,1))+12)),"")</f>
        <v>11</v>
      </c>
      <c r="V26" s="5">
        <f>IF(MONTH((DATE($C$1,11,1)-WEEKDAY(DATE($C$1,11,1))+13))=11,DAY((DATE($C$1,11,1)-WEEKDAY(DATE($C$1,11,1))+13)),"")</f>
        <v>12</v>
      </c>
      <c r="W26" s="5">
        <f>IF(MONTH((DATE($C$1,11,1)-WEEKDAY(DATE($C$1,11,1))+14))=11,DAY((DATE($C$1,11,1)-WEEKDAY(DATE($C$1,11,1))+14)),"")</f>
        <v>13</v>
      </c>
      <c r="Y26" s="5">
        <f>IF(MONTH((DATE($C$1,12,1)-WEEKDAY(DATE($C$1,12,1))+8))=12,DAY((DATE($C$1,12,1)-WEEKDAY(DATE($C$1,12,1))+8)),"")</f>
        <v>5</v>
      </c>
      <c r="Z26" s="5">
        <f>IF(MONTH((DATE($C$1,12,1)-WEEKDAY(DATE($C$1,12,1))+9))=12,DAY((DATE($C$1,12,1)-WEEKDAY(DATE($C$1,12,1))+9)),"")</f>
        <v>6</v>
      </c>
      <c r="AA26" s="5">
        <f>IF(MONTH((DATE($C$1,12,1)-WEEKDAY(DATE($C$1,12,1))+10))=12,DAY((DATE($C$1,12,1)-WEEKDAY(DATE($C$1,12,1))+10)),"")</f>
        <v>7</v>
      </c>
      <c r="AB26" s="5">
        <f>IF(MONTH((DATE($C$1,12,1)-WEEKDAY(DATE($C$1,12,1))+11))=12,DAY((DATE($C$1,12,1)-WEEKDAY(DATE($C$1,12,1))+11)),"")</f>
        <v>8</v>
      </c>
      <c r="AC26" s="5">
        <f>IF(MONTH((DATE($C$1,12,1)-WEEKDAY(DATE($C$1,12,1))+12))=12,DAY((DATE($C$1,12,1)-WEEKDAY(DATE($C$1,12,1))+12)),"")</f>
        <v>9</v>
      </c>
      <c r="AD26" s="5">
        <f>IF(MONTH((DATE($C$1,12,1)-WEEKDAY(DATE($C$1,12,1))+13))=12,DAY((DATE($C$1,12,1)-WEEKDAY(DATE($C$1,12,1))+13)),"")</f>
        <v>10</v>
      </c>
      <c r="AE26" s="5">
        <f>IF(MONTH((DATE($C$1,12,1)-WEEKDAY(DATE($C$1,12,1))+14))=12,DAY((DATE($C$1,12,1)-WEEKDAY(DATE($C$1,12,1))+14)),"")</f>
        <v>11</v>
      </c>
    </row>
    <row r="27" spans="1:31" ht="15.5" x14ac:dyDescent="0.45">
      <c r="A27" s="5">
        <f>IF(MONTH((DATE($C$1,9,1)-WEEKDAY(DATE($C$1,9,1))+15))=9,DAY((DATE($C$1,9,1)-WEEKDAY(DATE($C$1,9,1))+15)),"")</f>
        <v>12</v>
      </c>
      <c r="B27" s="5">
        <f>IF(MONTH((DATE($C$1,9,1)-WEEKDAY(DATE($C$1,9,1))+16))=9,DAY((DATE($C$1,9,1)-WEEKDAY(DATE($C$1,9,1))+16)),"")</f>
        <v>13</v>
      </c>
      <c r="C27" s="5">
        <f>IF(MONTH((DATE($C$1,9,1)-WEEKDAY(DATE($C$1,9,1))+17))=9,DAY((DATE($C$1,9,1)-WEEKDAY(DATE($C$1,9,1))+17)),"")</f>
        <v>14</v>
      </c>
      <c r="D27" s="5">
        <f>IF(MONTH((DATE($C$1,9,1)-WEEKDAY(DATE($C$1,9,1))+18))=9,DAY((DATE($C$1,9,1)-WEEKDAY(DATE($C$1,9,1))+18)),"")</f>
        <v>15</v>
      </c>
      <c r="E27" s="5">
        <f>IF(MONTH((DATE($C$1,9,1)-WEEKDAY(DATE($C$1,9,1))+19))=9,DAY((DATE($C$1,9,1)-WEEKDAY(DATE($C$1,9,1))+19)),"")</f>
        <v>16</v>
      </c>
      <c r="F27" s="5">
        <f>IF(MONTH((DATE($C$1,9,1)-WEEKDAY(DATE($C$1,9,1))+20))=9,DAY((DATE($C$1,9,1)-WEEKDAY(DATE($C$1,9,1))+20)),"")</f>
        <v>17</v>
      </c>
      <c r="G27" s="5">
        <f>IF(MONTH((DATE($C$1,9,1)-WEEKDAY(DATE($C$1,9,1))+21))=9,DAY((DATE($C$1,9,1)-WEEKDAY(DATE($C$1,9,1))+21)),"")</f>
        <v>18</v>
      </c>
      <c r="I27" s="5">
        <f>IF(MONTH((DATE($C$1,10,1)-WEEKDAY(DATE($C$1,10,1))+15))=10,DAY((DATE($C$1,10,1)-WEEKDAY(DATE($C$1,10,1))+15)),"")</f>
        <v>10</v>
      </c>
      <c r="J27" s="5">
        <f>IF(MONTH((DATE($C$1,10,1)-WEEKDAY(DATE($C$1,10,1))+16))=10,DAY((DATE($C$1,10,1)-WEEKDAY(DATE($C$1,10,1))+16)),"")</f>
        <v>11</v>
      </c>
      <c r="K27" s="5">
        <f>IF(MONTH((DATE($C$1,10,1)-WEEKDAY(DATE($C$1,10,1))+17))=10,DAY((DATE($C$1,10,1)-WEEKDAY(DATE($C$1,10,1))+17)),"")</f>
        <v>12</v>
      </c>
      <c r="L27" s="5">
        <f>IF(MONTH((DATE($C$1,10,1)-WEEKDAY(DATE($C$1,10,1))+18))=10,DAY((DATE($C$1,10,1)-WEEKDAY(DATE($C$1,10,1))+18)),"")</f>
        <v>13</v>
      </c>
      <c r="M27" s="5">
        <f>IF(MONTH((DATE($C$1,10,1)-WEEKDAY(DATE($C$1,10,1))+19))=10,DAY((DATE($C$1,10,1)-WEEKDAY(DATE($C$1,10,1))+19)),"")</f>
        <v>14</v>
      </c>
      <c r="N27" s="5">
        <f>IF(MONTH((DATE($C$1,10,1)-WEEKDAY(DATE($C$1,10,1))+20))=10,DAY((DATE($C$1,10,1)-WEEKDAY(DATE($C$1,10,1))+20)),"")</f>
        <v>15</v>
      </c>
      <c r="O27" s="5">
        <f>IF(MONTH((DATE($C$1,10,1)-WEEKDAY(DATE($C$1,10,1))+21))=10,DAY((DATE($C$1,10,1)-WEEKDAY(DATE($C$1,10,1))+21)),"")</f>
        <v>16</v>
      </c>
      <c r="Q27" s="5">
        <f>IF(MONTH((DATE($C$1,11,1)-WEEKDAY(DATE($C$1,11,1))+15))=11,DAY((DATE($C$1,11,1)-WEEKDAY(DATE($C$1,11,1))+15)),"")</f>
        <v>14</v>
      </c>
      <c r="R27" s="5">
        <f>IF(MONTH((DATE($C$1,11,1)-WEEKDAY(DATE($C$1,11,1))+16))=11,DAY((DATE($C$1,11,1)-WEEKDAY(DATE($C$1,11,1))+16)),"")</f>
        <v>15</v>
      </c>
      <c r="S27" s="5">
        <f>IF(MONTH((DATE($C$1,11,1)-WEEKDAY(DATE($C$1,11,1))+17))=11,DAY((DATE($C$1,11,1)-WEEKDAY(DATE($C$1,11,1))+17)),"")</f>
        <v>16</v>
      </c>
      <c r="T27" s="5">
        <f>IF(MONTH((DATE($C$1,11,1)-WEEKDAY(DATE($C$1,11,1))+18))=11,DAY((DATE($C$1,11,1)-WEEKDAY(DATE($C$1,11,1))+18)),"")</f>
        <v>17</v>
      </c>
      <c r="U27" s="5">
        <f>IF(MONTH((DATE($C$1,11,1)-WEEKDAY(DATE($C$1,11,1))+19))=11,DAY((DATE($C$1,11,1)-WEEKDAY(DATE($C$1,11,1))+19)),"")</f>
        <v>18</v>
      </c>
      <c r="V27" s="5">
        <f>IF(MONTH((DATE($C$1,11,1)-WEEKDAY(DATE($C$1,11,1))+20))=11,DAY((DATE($C$1,11,1)-WEEKDAY(DATE($C$1,11,1))+20)),"")</f>
        <v>19</v>
      </c>
      <c r="W27" s="5">
        <f>IF(MONTH((DATE($C$1,11,1)-WEEKDAY(DATE($C$1,11,1))+21))=11,DAY((DATE($C$1,11,1)-WEEKDAY(DATE($C$1,11,1))+21)),"")</f>
        <v>20</v>
      </c>
      <c r="Y27" s="5">
        <f>IF(MONTH((DATE($C$1,12,1)-WEEKDAY(DATE($C$1,12,1))+15))=12,DAY((DATE($C$1,12,1)-WEEKDAY(DATE($C$1,12,1))+15)),"")</f>
        <v>12</v>
      </c>
      <c r="Z27" s="5">
        <f>IF(MONTH((DATE($C$1,12,1)-WEEKDAY(DATE($C$1,12,1))+16))=12,DAY((DATE($C$1,12,1)-WEEKDAY(DATE($C$1,12,1))+16)),"")</f>
        <v>13</v>
      </c>
      <c r="AA27" s="5">
        <f>IF(MONTH((DATE($C$1,12,1)-WEEKDAY(DATE($C$1,12,1))+17))=12,DAY((DATE($C$1,12,1)-WEEKDAY(DATE($C$1,12,1))+17)),"")</f>
        <v>14</v>
      </c>
      <c r="AB27" s="5">
        <f>IF(MONTH((DATE($C$1,12,1)-WEEKDAY(DATE($C$1,12,1))+18))=12,DAY((DATE($C$1,12,1)-WEEKDAY(DATE($C$1,12,1))+18)),"")</f>
        <v>15</v>
      </c>
      <c r="AC27" s="5">
        <f>IF(MONTH((DATE($C$1,12,1)-WEEKDAY(DATE($C$1,12,1))+19))=12,DAY((DATE($C$1,12,1)-WEEKDAY(DATE($C$1,12,1))+19)),"")</f>
        <v>16</v>
      </c>
      <c r="AD27" s="5">
        <f>IF(MONTH((DATE($C$1,12,1)-WEEKDAY(DATE($C$1,12,1))+20))=12,DAY((DATE($C$1,12,1)-WEEKDAY(DATE($C$1,12,1))+20)),"")</f>
        <v>17</v>
      </c>
      <c r="AE27" s="5">
        <f>IF(MONTH((DATE($C$1,12,1)-WEEKDAY(DATE($C$1,12,1))+21))=12,DAY((DATE($C$1,12,1)-WEEKDAY(DATE($C$1,12,1))+21)),"")</f>
        <v>18</v>
      </c>
    </row>
    <row r="28" spans="1:31" ht="15.5" x14ac:dyDescent="0.45">
      <c r="A28" s="5">
        <f>IF(MONTH((DATE($C$1,9,1)-WEEKDAY(DATE($C$1,9,1))+22))=9,DAY((DATE($C$1,9,1)-WEEKDAY(DATE($C$1,9,1))+22)),"")</f>
        <v>19</v>
      </c>
      <c r="B28" s="5">
        <f>IF(MONTH((DATE($C$1,9,1)-WEEKDAY(DATE($C$1,9,1))+23))=9,DAY((DATE($C$1,9,1)-WEEKDAY(DATE($C$1,9,1))+23)),"")</f>
        <v>20</v>
      </c>
      <c r="C28" s="5">
        <f>IF(MONTH((DATE($C$1,9,1)-WEEKDAY(DATE($C$1,9,1))+24))=9,DAY((DATE($C$1,9,1)-WEEKDAY(DATE($C$1,9,1))+24)),"")</f>
        <v>21</v>
      </c>
      <c r="D28" s="5">
        <f>IF(MONTH((DATE($C$1,9,1)-WEEKDAY(DATE($C$1,9,1))+25))=9,DAY((DATE($C$1,9,1)-WEEKDAY(DATE($C$1,9,1))+25)),"")</f>
        <v>22</v>
      </c>
      <c r="E28" s="5">
        <f>IF(MONTH((DATE($C$1,9,1)-WEEKDAY(DATE($C$1,9,1))+26))=9,DAY((DATE($C$1,9,1)-WEEKDAY(DATE($C$1,9,1))+26)),"")</f>
        <v>23</v>
      </c>
      <c r="F28" s="5">
        <f>IF(MONTH((DATE($C$1,9,1)-WEEKDAY(DATE($C$1,9,1))+27))=9,DAY((DATE($C$1,9,1)-WEEKDAY(DATE($C$1,9,1))+27)),"")</f>
        <v>24</v>
      </c>
      <c r="G28" s="5">
        <f>IF(MONTH((DATE($C$1,9,1)-WEEKDAY(DATE($C$1,9,1))+28))=9,DAY((DATE($C$1,9,1)-WEEKDAY(DATE($C$1,9,1))+28)),"")</f>
        <v>25</v>
      </c>
      <c r="I28" s="5">
        <f>IF(MONTH((DATE($C$1,10,1)-WEEKDAY(DATE($C$1,10,1))+22))=10,DAY((DATE($C$1,10,1)-WEEKDAY(DATE($C$1,10,1))+22)),"")</f>
        <v>17</v>
      </c>
      <c r="J28" s="5">
        <f>IF(MONTH((DATE($C$1,10,1)-WEEKDAY(DATE($C$1,10,1))+23))=10,DAY((DATE($C$1,10,1)-WEEKDAY(DATE($C$1,10,1))+23)),"")</f>
        <v>18</v>
      </c>
      <c r="K28" s="5">
        <f>IF(MONTH((DATE($C$1,10,1)-WEEKDAY(DATE($C$1,10,1))+24))=10,DAY((DATE($C$1,10,1)-WEEKDAY(DATE($C$1,10,1))+24)),"")</f>
        <v>19</v>
      </c>
      <c r="L28" s="5">
        <f>IF(MONTH((DATE($C$1,10,1)-WEEKDAY(DATE($C$1,10,1))+25))=10,DAY((DATE($C$1,10,1)-WEEKDAY(DATE($C$1,10,1))+25)),"")</f>
        <v>20</v>
      </c>
      <c r="M28" s="5">
        <f>IF(MONTH((DATE($C$1,10,1)-WEEKDAY(DATE($C$1,10,1))+26))=10,DAY((DATE($C$1,10,1)-WEEKDAY(DATE($C$1,10,1))+26)),"")</f>
        <v>21</v>
      </c>
      <c r="N28" s="5">
        <f>IF(MONTH((DATE($C$1,10,1)-WEEKDAY(DATE($C$1,10,1))+27))=10,DAY((DATE($C$1,10,1)-WEEKDAY(DATE($C$1,10,1))+27)),"")</f>
        <v>22</v>
      </c>
      <c r="O28" s="5">
        <f>IF(MONTH((DATE($C$1,10,1)-WEEKDAY(DATE($C$1,10,1))+28))=10,DAY((DATE($C$1,10,1)-WEEKDAY(DATE($C$1,10,1))+28)),"")</f>
        <v>23</v>
      </c>
      <c r="Q28" s="5">
        <f>IF(MONTH((DATE($C$1,11,1)-WEEKDAY(DATE($C$1,11,1))+22))=11,DAY((DATE($C$1,11,1)-WEEKDAY(DATE($C$1,11,1))+22)),"")</f>
        <v>21</v>
      </c>
      <c r="R28" s="5">
        <f>IF(MONTH((DATE($C$1,11,1)-WEEKDAY(DATE($C$1,11,1))+23))=11,DAY((DATE($C$1,11,1)-WEEKDAY(DATE($C$1,11,1))+23)),"")</f>
        <v>22</v>
      </c>
      <c r="S28" s="5">
        <f>IF(MONTH((DATE($C$1,11,1)-WEEKDAY(DATE($C$1,11,1))+24))=11,DAY((DATE($C$1,11,1)-WEEKDAY(DATE($C$1,11,1))+24)),"")</f>
        <v>23</v>
      </c>
      <c r="T28" s="5">
        <f>IF(MONTH((DATE($C$1,11,1)-WEEKDAY(DATE($C$1,11,1))+25))=11,DAY((DATE($C$1,11,1)-WEEKDAY(DATE($C$1,11,1))+25)),"")</f>
        <v>24</v>
      </c>
      <c r="U28" s="5">
        <f>IF(MONTH((DATE($C$1,11,1)-WEEKDAY(DATE($C$1,11,1))+26))=11,DAY((DATE($C$1,11,1)-WEEKDAY(DATE($C$1,11,1))+26)),"")</f>
        <v>25</v>
      </c>
      <c r="V28" s="5">
        <f>IF(MONTH((DATE($C$1,11,1)-WEEKDAY(DATE($C$1,11,1))+27))=11,DAY((DATE($C$1,11,1)-WEEKDAY(DATE($C$1,11,1))+27)),"")</f>
        <v>26</v>
      </c>
      <c r="W28" s="5">
        <f>IF(MONTH((DATE($C$1,11,1)-WEEKDAY(DATE($C$1,11,1))+28))=11,DAY((DATE($C$1,11,1)-WEEKDAY(DATE($C$1,11,1))+28)),"")</f>
        <v>27</v>
      </c>
      <c r="Y28" s="5">
        <f>IF(MONTH((DATE($C$1,12,1)-WEEKDAY(DATE($C$1,12,1))+22))=12,DAY((DATE($C$1,12,1)-WEEKDAY(DATE($C$1,12,1))+22)),"")</f>
        <v>19</v>
      </c>
      <c r="Z28" s="5">
        <f>IF(MONTH((DATE($C$1,12,1)-WEEKDAY(DATE($C$1,12,1))+23))=12,DAY((DATE($C$1,12,1)-WEEKDAY(DATE($C$1,12,1))+23)),"")</f>
        <v>20</v>
      </c>
      <c r="AA28" s="5">
        <f>IF(MONTH((DATE($C$1,12,1)-WEEKDAY(DATE($C$1,12,1))+24))=12,DAY((DATE($C$1,12,1)-WEEKDAY(DATE($C$1,12,1))+24)),"")</f>
        <v>21</v>
      </c>
      <c r="AB28" s="5">
        <f>IF(MONTH((DATE($C$1,12,1)-WEEKDAY(DATE($C$1,12,1))+25))=12,DAY((DATE($C$1,12,1)-WEEKDAY(DATE($C$1,12,1))+25)),"")</f>
        <v>22</v>
      </c>
      <c r="AC28" s="5">
        <f>IF(MONTH((DATE($C$1,12,1)-WEEKDAY(DATE($C$1,12,1))+26))=12,DAY((DATE($C$1,12,1)-WEEKDAY(DATE($C$1,12,1))+26)),"")</f>
        <v>23</v>
      </c>
      <c r="AD28" s="5">
        <f>IF(MONTH((DATE($C$1,12,1)-WEEKDAY(DATE($C$1,12,1))+27))=12,DAY((DATE($C$1,12,1)-WEEKDAY(DATE($C$1,12,1))+27)),"")</f>
        <v>24</v>
      </c>
      <c r="AE28" s="5">
        <f>IF(MONTH((DATE($C$1,12,1)-WEEKDAY(DATE($C$1,12,1))+28))=12,DAY((DATE($C$1,12,1)-WEEKDAY(DATE($C$1,12,1))+28)),"")</f>
        <v>25</v>
      </c>
    </row>
    <row r="29" spans="1:31" ht="15.5" x14ac:dyDescent="0.45">
      <c r="A29" s="5">
        <f>IF(MONTH((DATE($C$1,9,1)-WEEKDAY(DATE($C$1,9,1))+29))=9,DAY((DATE($C$1,9,1)-WEEKDAY(DATE($C$1,9,1))+29)),"")</f>
        <v>26</v>
      </c>
      <c r="B29" s="5">
        <f>IF(MONTH((DATE($C$1,9,1)-WEEKDAY(DATE($C$1,9,1))+30))=9,DAY((DATE($C$1,9,1)-WEEKDAY(DATE($C$1,9,1))+30)),"")</f>
        <v>27</v>
      </c>
      <c r="C29" s="5">
        <f>IF(MONTH((DATE($C$1,9,1)-WEEKDAY(DATE($C$1,9,1))+31))=9,DAY((DATE($C$1,9,1)-WEEKDAY(DATE($C$1,9,1))+31)),"")</f>
        <v>28</v>
      </c>
      <c r="D29" s="5">
        <f>IF(MONTH((DATE($C$1,9,1)-WEEKDAY(DATE($C$1,9,1))+32))=9,DAY((DATE($C$1,9,1)-WEEKDAY(DATE($C$1,9,1))+32)),"")</f>
        <v>29</v>
      </c>
      <c r="E29" s="5">
        <f>IF(MONTH((DATE($C$1,9,1)-WEEKDAY(DATE($C$1,9,1))+33))=9,DAY((DATE($C$1,9,1)-WEEKDAY(DATE($C$1,9,1))+33)),"")</f>
        <v>30</v>
      </c>
      <c r="F29" s="5" t="str">
        <f>IF(MONTH((DATE($C$1,9,1)-WEEKDAY(DATE($C$1,9,1))+34))=9,DAY((DATE($C$1,9,1)-WEEKDAY(DATE($C$1,9,1))+34)),"")</f>
        <v/>
      </c>
      <c r="G29" s="5" t="str">
        <f>IF(MONTH((DATE($C$1,9,1)-WEEKDAY(DATE($C$1,9,1))+35))=9,DAY((DATE($C$1,9,1)-WEEKDAY(DATE($C$1,9,1))+35)),"")</f>
        <v/>
      </c>
      <c r="I29" s="5">
        <f>IF(MONTH((DATE($C$1,10,1)-WEEKDAY(DATE($C$1,10,1))+29))=10,DAY((DATE($C$1,10,1)-WEEKDAY(DATE($C$1,10,1))+29)),"")</f>
        <v>24</v>
      </c>
      <c r="J29" s="5">
        <f>IF(MONTH((DATE($C$1,10,1)-WEEKDAY(DATE($C$1,10,1))+30))=10,DAY((DATE($C$1,10,1)-WEEKDAY(DATE($C$1,10,1))+30)),"")</f>
        <v>25</v>
      </c>
      <c r="K29" s="5">
        <f>IF(MONTH((DATE($C$1,10,1)-WEEKDAY(DATE($C$1,10,1))+31))=10,DAY((DATE($C$1,10,1)-WEEKDAY(DATE($C$1,10,1))+31)),"")</f>
        <v>26</v>
      </c>
      <c r="L29" s="5">
        <f>IF(MONTH((DATE($C$1,10,1)-WEEKDAY(DATE($C$1,10,1))+32))=10,DAY((DATE($C$1,10,1)-WEEKDAY(DATE($C$1,10,1))+32)),"")</f>
        <v>27</v>
      </c>
      <c r="M29" s="5">
        <f>IF(MONTH((DATE($C$1,10,1)-WEEKDAY(DATE($C$1,10,1))+33))=10,DAY((DATE($C$1,10,1)-WEEKDAY(DATE($C$1,10,1))+33)),"")</f>
        <v>28</v>
      </c>
      <c r="N29" s="5">
        <f>IF(MONTH((DATE($C$1,10,1)-WEEKDAY(DATE($C$1,10,1))+34))=10,DAY((DATE($C$1,10,1)-WEEKDAY(DATE($C$1,10,1))+34)),"")</f>
        <v>29</v>
      </c>
      <c r="O29" s="5">
        <f>IF(MONTH((DATE($C$1,10,1)-WEEKDAY(DATE($C$1,10,1))+35))=10,DAY((DATE($C$1,10,1)-WEEKDAY(DATE($C$1,10,1))+35)),"")</f>
        <v>30</v>
      </c>
      <c r="Q29" s="5">
        <f>IF(MONTH((DATE($C$1,11,1)-WEEKDAY(DATE($C$1,11,1))+29))=11,DAY((DATE($C$1,11,1)-WEEKDAY(DATE($C$1,11,1))+29)),"")</f>
        <v>28</v>
      </c>
      <c r="R29" s="5">
        <f>IF(MONTH((DATE($C$1,11,1)-WEEKDAY(DATE($C$1,11,1))+30))=11,DAY((DATE($C$1,11,1)-WEEKDAY(DATE($C$1,11,1))+30)),"")</f>
        <v>29</v>
      </c>
      <c r="S29" s="5">
        <f>IF(MONTH((DATE($C$1,11,1)-WEEKDAY(DATE($C$1,11,1))+31))=11,DAY((DATE($C$1,11,1)-WEEKDAY(DATE($C$1,11,1))+31)),"")</f>
        <v>30</v>
      </c>
      <c r="T29" s="5" t="str">
        <f>IF(MONTH((DATE($C$1,11,1)-WEEKDAY(DATE($C$1,11,1))+32))=11,DAY((DATE($C$1,11,1)-WEEKDAY(DATE($C$1,11,1))+32)),"")</f>
        <v/>
      </c>
      <c r="U29" s="5" t="str">
        <f>IF(MONTH((DATE($C$1,11,1)-WEEKDAY(DATE($C$1,11,1))+33))=11,DAY((DATE($C$1,11,1)-WEEKDAY(DATE($C$1,11,1))+33)),"")</f>
        <v/>
      </c>
      <c r="V29" s="5" t="str">
        <f>IF(MONTH((DATE($C$1,11,1)-WEEKDAY(DATE($C$1,11,1))+34))=11,DAY((DATE($C$1,11,1)-WEEKDAY(DATE($C$1,11,1))+34)),"")</f>
        <v/>
      </c>
      <c r="W29" s="5" t="str">
        <f>IF(MONTH((DATE($C$1,11,1)-WEEKDAY(DATE($C$1,11,1))+35))=11,DAY((DATE($C$1,11,1)-WEEKDAY(DATE($C$1,11,1))+35)),"")</f>
        <v/>
      </c>
      <c r="Y29" s="5">
        <f>IF(MONTH((DATE($C$1,12,1)-WEEKDAY(DATE($C$1,12,1))+29))=12,DAY((DATE($C$1,12,1)-WEEKDAY(DATE($C$1,12,1))+29)),"")</f>
        <v>26</v>
      </c>
      <c r="Z29" s="5">
        <f>IF(MONTH((DATE($C$1,12,1)-WEEKDAY(DATE($C$1,12,1))+30))=12,DAY((DATE($C$1,12,1)-WEEKDAY(DATE($C$1,12,1))+30)),"")</f>
        <v>27</v>
      </c>
      <c r="AA29" s="5">
        <f>IF(MONTH((DATE($C$1,12,1)-WEEKDAY(DATE($C$1,12,1))+31))=12,DAY((DATE($C$1,12,1)-WEEKDAY(DATE($C$1,12,1))+31)),"")</f>
        <v>28</v>
      </c>
      <c r="AB29" s="5">
        <f>IF(MONTH((DATE($C$1,12,1)-WEEKDAY(DATE($C$1,12,1))+32))=12,DAY((DATE($C$1,12,1)-WEEKDAY(DATE($C$1,12,1))+32)),"")</f>
        <v>29</v>
      </c>
      <c r="AC29" s="5">
        <f>IF(MONTH((DATE($C$1,12,1)-WEEKDAY(DATE($C$1,12,1))+33))=12,DAY((DATE($C$1,12,1)-WEEKDAY(DATE($C$1,12,1))+33)),"")</f>
        <v>30</v>
      </c>
      <c r="AD29" s="5">
        <f>IF(MONTH((DATE($C$1,12,1)-WEEKDAY(DATE($C$1,12,1))+34))=12,DAY((DATE($C$1,12,1)-WEEKDAY(DATE($C$1,12,1))+34)),"")</f>
        <v>31</v>
      </c>
      <c r="AE29" s="5" t="str">
        <f>IF(MONTH((DATE($C$1,12,1)-WEEKDAY(DATE($C$1,12,1))+35))=12,DAY((DATE($C$1,12,1)-WEEKDAY(DATE($C$1,12,1))+35)),"")</f>
        <v/>
      </c>
    </row>
    <row r="30" spans="1:31" ht="15.5" x14ac:dyDescent="0.45">
      <c r="A30" s="5" t="str">
        <f>IF(MONTH((DATE($C$1,9,1)-WEEKDAY(DATE($C$1,9,1))+36))=9,DAY((DATE($C$1,9,1)-WEEKDAY(DATE($C$1,9,1))+36)),"")</f>
        <v/>
      </c>
      <c r="B30" s="5" t="str">
        <f>IF(MONTH((DATE($C$1,9,1)-WEEKDAY(DATE($C$1,9,1))+37))=9,DAY((DATE($C$1,9,1)-WEEKDAY(DATE($C$1,9,1))+37)),"")</f>
        <v/>
      </c>
      <c r="C30" s="5" t="str">
        <f>IF(MONTH((DATE($C$1,9,1)-WEEKDAY(DATE($C$1,9,1))+38))=9,DAY((DATE($C$1,9,1)-WEEKDAY(DATE($C$1,9,1))+38)),"")</f>
        <v/>
      </c>
      <c r="D30" s="5" t="str">
        <f>IF(MONTH((DATE($C$1,9,1)-WEEKDAY(DATE($C$1,9,1))+39))=9,DAY((DATE($C$1,9,1)-WEEKDAY(DATE($C$1,9,1))+39)),"")</f>
        <v/>
      </c>
      <c r="E30" s="5" t="str">
        <f>IF(MONTH((DATE($C$1,9,1)-WEEKDAY(DATE($C$1,9,1))+40))=9,DAY((DATE($C$1,9,1)-WEEKDAY(DATE($C$1,9,1))+40)),"")</f>
        <v/>
      </c>
      <c r="F30" s="5" t="str">
        <f>IF(MONTH((DATE($C$1,9,1)-WEEKDAY(DATE($C$1,9,1))+41))=9,DAY((DATE($C$1,9,1)-WEEKDAY(DATE($C$1,9,1))+41)),"")</f>
        <v/>
      </c>
      <c r="G30" s="5" t="str">
        <f>IF(MONTH((DATE($C$1,9,1)-WEEKDAY(DATE($C$1,9,1))+42))=9,DAY((DATE($C$1,9,1)-WEEKDAY(DATE($C$1,9,1))+42)),"")</f>
        <v/>
      </c>
      <c r="I30" s="5">
        <f>IF(MONTH((DATE($C$1,10,1)-WEEKDAY(DATE($C$1,10,1))+36))=10,DAY((DATE($C$1,10,1)-WEEKDAY(DATE($C$1,10,1))+36)),"")</f>
        <v>31</v>
      </c>
      <c r="J30" s="5" t="str">
        <f>IF(MONTH((DATE($C$1,10,1)-WEEKDAY(DATE($C$1,10,1))+37))=10,DAY((DATE($C$1,10,1)-WEEKDAY(DATE($C$1,10,1))+37)),"")</f>
        <v/>
      </c>
      <c r="K30" s="5" t="str">
        <f>IF(MONTH((DATE($C$1,10,1)-WEEKDAY(DATE($C$1,10,1))+38))=10,DAY((DATE($C$1,10,1)-WEEKDAY(DATE($C$1,10,1))+38)),"")</f>
        <v/>
      </c>
      <c r="L30" s="5" t="str">
        <f>IF(MONTH((DATE($C$1,10,1)-WEEKDAY(DATE($C$1,10,1))+39))=10,DAY((DATE($C$1,10,1)-WEEKDAY(DATE($C$1,10,1))+39)),"")</f>
        <v/>
      </c>
      <c r="M30" s="5" t="str">
        <f>IF(MONTH((DATE($C$1,10,1)-WEEKDAY(DATE($C$1,10,1))+40))=10,DAY((DATE($C$1,10,1)-WEEKDAY(DATE($C$1,10,1))+40)),"")</f>
        <v/>
      </c>
      <c r="N30" s="5" t="str">
        <f>IF(MONTH((DATE($C$1,10,1)-WEEKDAY(DATE($C$1,10,1))+41))=10,DAY((DATE($C$1,10,1)-WEEKDAY(DATE($C$1,10,1))+41)),"")</f>
        <v/>
      </c>
      <c r="O30" s="5" t="str">
        <f>IF(MONTH((DATE($C$1,10,1)-WEEKDAY(DATE($C$1,10,1))+42))=10,DAY((DATE($C$1,10,1)-WEEKDAY(DATE($C$1,10,1))+42)),"")</f>
        <v/>
      </c>
      <c r="Q30" s="5" t="str">
        <f>IF(MONTH((DATE($C$1,11,1)-WEEKDAY(DATE($C$1,11,1))+36))=11,DAY((DATE($C$1,11,1)-WEEKDAY(DATE($C$1,11,1))+36)),"")</f>
        <v/>
      </c>
      <c r="R30" s="5" t="str">
        <f>IF(MONTH((DATE($C$1,11,1)-WEEKDAY(DATE($C$1,11,1))+37))=11,DAY((DATE($C$1,11,1)-WEEKDAY(DATE($C$1,11,1))+37)),"")</f>
        <v/>
      </c>
      <c r="S30" s="5" t="str">
        <f>IF(MONTH((DATE($C$1,11,1)-WEEKDAY(DATE($C$1,11,1))+38))=11,DAY((DATE($C$1,11,1)-WEEKDAY(DATE($C$1,11,1))+38)),"")</f>
        <v/>
      </c>
      <c r="T30" s="5" t="str">
        <f>IF(MONTH((DATE($C$1,11,1)-WEEKDAY(DATE($C$1,11,1))+39))=11,DAY((DATE($C$1,11,1)-WEEKDAY(DATE($C$1,11,1))+39)),"")</f>
        <v/>
      </c>
      <c r="U30" s="5" t="str">
        <f>IF(MONTH((DATE($C$1,11,1)-WEEKDAY(DATE($C$1,11,1))+40))=11,DAY((DATE($C$1,11,1)-WEEKDAY(DATE($C$1,11,1))+40)),"")</f>
        <v/>
      </c>
      <c r="V30" s="5" t="str">
        <f>IF(MONTH((DATE($C$1,11,1)-WEEKDAY(DATE($C$1,11,1))+41))=11,DAY((DATE($C$1,11,1)-WEEKDAY(DATE($C$1,11,1))+41)),"")</f>
        <v/>
      </c>
      <c r="W30" s="5" t="str">
        <f>IF(MONTH((DATE($C$1,11,1)-WEEKDAY(DATE($C$1,11,1))+42))=11,DAY((DATE($C$1,11,1)-WEEKDAY(DATE($C$1,11,1))+42)),"")</f>
        <v/>
      </c>
      <c r="Y30" s="5" t="str">
        <f>IF(MONTH((DATE($C$1,12,1)-WEEKDAY(DATE($C$1,12,1))+36))=12,DAY((DATE($C$1,12,1)-WEEKDAY(DATE($C$1,12,1))+36)),"")</f>
        <v/>
      </c>
      <c r="Z30" s="5" t="str">
        <f>IF(MONTH((DATE($C$1,12,1)-WEEKDAY(DATE($C$1,12,1))+37))=12,DAY((DATE($C$1,12,1)-WEEKDAY(DATE($C$1,12,1))+37)),"")</f>
        <v/>
      </c>
      <c r="AA30" s="5" t="str">
        <f>IF(MONTH((DATE($C$1,12,1)-WEEKDAY(DATE($C$1,12,1))+38))=12,DAY((DATE($C$1,12,1)-WEEKDAY(DATE($C$1,12,1))+38)),"")</f>
        <v/>
      </c>
      <c r="AB30" s="5" t="str">
        <f>IF(MONTH((DATE($C$1,12,1)-WEEKDAY(DATE($C$1,12,1))+39))=12,DAY((DATE($C$1,12,1)-WEEKDAY(DATE($C$1,12,1))+39)),"")</f>
        <v/>
      </c>
      <c r="AC30" s="5" t="str">
        <f>IF(MONTH((DATE($C$1,12,1)-WEEKDAY(DATE($C$1,12,1))+40))=12,DAY((DATE($C$1,12,1)-WEEKDAY(DATE($C$1,12,1))+40)),"")</f>
        <v/>
      </c>
      <c r="AD30" s="5" t="str">
        <f>IF(MONTH((DATE($C$1,12,1)-WEEKDAY(DATE($C$1,12,1))+41))=12,DAY((DATE($C$1,12,1)-WEEKDAY(DATE($C$1,12,1))+41)),"")</f>
        <v/>
      </c>
      <c r="AE30" s="5" t="str">
        <f>IF(MONTH((DATE($C$1,12,1)-WEEKDAY(DATE($C$1,12,1))+42))=12,DAY((DATE($C$1,12,1)-WEEKDAY(DATE($C$1,12,1))+42)),"")</f>
        <v/>
      </c>
    </row>
  </sheetData>
  <mergeCells count="15">
    <mergeCell ref="A13:G13"/>
    <mergeCell ref="C1:E1"/>
    <mergeCell ref="Y13:AE13"/>
    <mergeCell ref="I23:O23"/>
    <mergeCell ref="Y23:AE23"/>
    <mergeCell ref="Q13:W13"/>
    <mergeCell ref="A3:G3"/>
    <mergeCell ref="J1:X1"/>
    <mergeCell ref="I3:O3"/>
    <mergeCell ref="Q3:W3"/>
    <mergeCell ref="A1:B1"/>
    <mergeCell ref="Y3:AE3"/>
    <mergeCell ref="Q23:W23"/>
    <mergeCell ref="I13:O13"/>
    <mergeCell ref="A23:G23"/>
  </mergeCells>
  <phoneticPr fontId="17"/>
  <printOptions horizontalCentered="1"/>
  <pageMargins left="0.4" right="0.4" top="0.4" bottom="0.3" header="0" footer="0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000-000001000000}">
            <xm:f>AND(A5&lt;&gt;"",OR(0=0,COUNTIF(祝日!$A$2:$A$75,DATE($C$1,1,A5))&gt;0))</xm:f>
            <x14:dxf>
              <font>
                <b/>
                <color rgb="FFC62828"/>
              </font>
            </x14:dxf>
          </x14:cfRule>
          <xm:sqref>A5:A10</xm:sqref>
        </x14:conditionalFormatting>
        <x14:conditionalFormatting xmlns:xm="http://schemas.microsoft.com/office/excel/2006/main">
          <x14:cfRule type="expression" priority="193" id="{00000000-000E-0000-0000-0000C1000000}">
            <xm:f>AND(A15&lt;&gt;"",OR(0=0,COUNTIF(祝日!$A$2:$A$75,DATE($C$1,5,A15))&gt;0))</xm:f>
            <x14:dxf>
              <font>
                <b/>
                <color rgb="FFC62828"/>
              </font>
            </x14:dxf>
          </x14:cfRule>
          <xm:sqref>A15:A20</xm:sqref>
        </x14:conditionalFormatting>
        <x14:conditionalFormatting xmlns:xm="http://schemas.microsoft.com/office/excel/2006/main">
          <x14:cfRule type="expression" priority="385" id="{00000000-000E-0000-0000-000081010000}">
            <xm:f>AND(A25&lt;&gt;"",OR(0=0,COUNTIF(祝日!$A$2:$A$75,DATE($C$1,9,A25))&gt;0))</xm:f>
            <x14:dxf>
              <font>
                <b/>
                <color rgb="FFC62828"/>
              </font>
            </x14:dxf>
          </x14:cfRule>
          <xm:sqref>A25:A30</xm:sqref>
        </x14:conditionalFormatting>
        <x14:conditionalFormatting xmlns:xm="http://schemas.microsoft.com/office/excel/2006/main">
          <x14:cfRule type="expression" priority="2" id="{00000000-000E-0000-0000-000002000000}">
            <xm:f>AND(B5&lt;&gt;"",OR(1=0,COUNTIF(祝日!$A$2:$A$75,DATE($C$1,1,B5))&gt;0))</xm:f>
            <x14:dxf>
              <font>
                <b/>
                <color rgb="FFC62828"/>
              </font>
            </x14:dxf>
          </x14:cfRule>
          <xm:sqref>B5:B10</xm:sqref>
        </x14:conditionalFormatting>
        <x14:conditionalFormatting xmlns:xm="http://schemas.microsoft.com/office/excel/2006/main">
          <x14:cfRule type="expression" priority="194" id="{00000000-000E-0000-0000-0000C2000000}">
            <xm:f>AND(B15&lt;&gt;"",OR(1=0,COUNTIF(祝日!$A$2:$A$75,DATE($C$1,5,B15))&gt;0))</xm:f>
            <x14:dxf>
              <font>
                <b/>
                <color rgb="FFC62828"/>
              </font>
            </x14:dxf>
          </x14:cfRule>
          <xm:sqref>B15:B20</xm:sqref>
        </x14:conditionalFormatting>
        <x14:conditionalFormatting xmlns:xm="http://schemas.microsoft.com/office/excel/2006/main">
          <x14:cfRule type="expression" priority="386" id="{00000000-000E-0000-0000-000082010000}">
            <xm:f>AND(B25&lt;&gt;"",OR(1=0,COUNTIF(祝日!$A$2:$A$75,DATE($C$1,9,B25))&gt;0))</xm:f>
            <x14:dxf>
              <font>
                <b/>
                <color rgb="FFC62828"/>
              </font>
            </x14:dxf>
          </x14:cfRule>
          <xm:sqref>B25:B30</xm:sqref>
        </x14:conditionalFormatting>
        <x14:conditionalFormatting xmlns:xm="http://schemas.microsoft.com/office/excel/2006/main">
          <x14:cfRule type="expression" priority="3" id="{00000000-000E-0000-0000-000003000000}">
            <xm:f>AND(C5&lt;&gt;"",OR(2=0,COUNTIF(祝日!$A$2:$A$75,DATE($C$1,1,C5))&gt;0))</xm:f>
            <x14:dxf>
              <font>
                <b/>
                <color rgb="FFC62828"/>
              </font>
            </x14:dxf>
          </x14:cfRule>
          <xm:sqref>C5:C10</xm:sqref>
        </x14:conditionalFormatting>
        <x14:conditionalFormatting xmlns:xm="http://schemas.microsoft.com/office/excel/2006/main">
          <x14:cfRule type="expression" priority="195" id="{00000000-000E-0000-0000-0000C3000000}">
            <xm:f>AND(C15&lt;&gt;"",OR(2=0,COUNTIF(祝日!$A$2:$A$75,DATE($C$1,5,C15))&gt;0))</xm:f>
            <x14:dxf>
              <font>
                <b/>
                <color rgb="FFC62828"/>
              </font>
            </x14:dxf>
          </x14:cfRule>
          <xm:sqref>C15:C20</xm:sqref>
        </x14:conditionalFormatting>
        <x14:conditionalFormatting xmlns:xm="http://schemas.microsoft.com/office/excel/2006/main">
          <x14:cfRule type="expression" priority="387" id="{00000000-000E-0000-0000-000083010000}">
            <xm:f>AND(C25&lt;&gt;"",OR(2=0,COUNTIF(祝日!$A$2:$A$75,DATE($C$1,9,C25))&gt;0))</xm:f>
            <x14:dxf>
              <font>
                <b/>
                <color rgb="FFC62828"/>
              </font>
            </x14:dxf>
          </x14:cfRule>
          <xm:sqref>C25:C30</xm:sqref>
        </x14:conditionalFormatting>
        <x14:conditionalFormatting xmlns:xm="http://schemas.microsoft.com/office/excel/2006/main">
          <x14:cfRule type="expression" priority="4" id="{00000000-000E-0000-0000-000004000000}">
            <xm:f>AND(D5&lt;&gt;"",OR(3=0,COUNTIF(祝日!$A$2:$A$75,DATE($C$1,1,D5))&gt;0))</xm:f>
            <x14:dxf>
              <font>
                <b/>
                <color rgb="FFC62828"/>
              </font>
            </x14:dxf>
          </x14:cfRule>
          <xm:sqref>D5:D10</xm:sqref>
        </x14:conditionalFormatting>
        <x14:conditionalFormatting xmlns:xm="http://schemas.microsoft.com/office/excel/2006/main">
          <x14:cfRule type="expression" priority="196" id="{00000000-000E-0000-0000-0000C4000000}">
            <xm:f>AND(D15&lt;&gt;"",OR(3=0,COUNTIF(祝日!$A$2:$A$75,DATE($C$1,5,D15))&gt;0))</xm:f>
            <x14:dxf>
              <font>
                <b/>
                <color rgb="FFC62828"/>
              </font>
            </x14:dxf>
          </x14:cfRule>
          <xm:sqref>D15:D20</xm:sqref>
        </x14:conditionalFormatting>
        <x14:conditionalFormatting xmlns:xm="http://schemas.microsoft.com/office/excel/2006/main">
          <x14:cfRule type="expression" priority="388" id="{00000000-000E-0000-0000-000084010000}">
            <xm:f>AND(D25&lt;&gt;"",OR(3=0,COUNTIF(祝日!$A$2:$A$75,DATE($C$1,9,D25))&gt;0))</xm:f>
            <x14:dxf>
              <font>
                <b/>
                <color rgb="FFC62828"/>
              </font>
            </x14:dxf>
          </x14:cfRule>
          <xm:sqref>D25:D30</xm:sqref>
        </x14:conditionalFormatting>
        <x14:conditionalFormatting xmlns:xm="http://schemas.microsoft.com/office/excel/2006/main">
          <x14:cfRule type="expression" priority="5" id="{00000000-000E-0000-0000-000005000000}">
            <xm:f>AND(E5&lt;&gt;"",OR(4=0,COUNTIF(祝日!$A$2:$A$75,DATE($C$1,1,E5))&gt;0))</xm:f>
            <x14:dxf>
              <font>
                <b/>
                <color rgb="FFC62828"/>
              </font>
            </x14:dxf>
          </x14:cfRule>
          <xm:sqref>E5:E10</xm:sqref>
        </x14:conditionalFormatting>
        <x14:conditionalFormatting xmlns:xm="http://schemas.microsoft.com/office/excel/2006/main">
          <x14:cfRule type="expression" priority="197" id="{00000000-000E-0000-0000-0000C5000000}">
            <xm:f>AND(E15&lt;&gt;"",OR(4=0,COUNTIF(祝日!$A$2:$A$75,DATE($C$1,5,E15))&gt;0))</xm:f>
            <x14:dxf>
              <font>
                <b/>
                <color rgb="FFC62828"/>
              </font>
            </x14:dxf>
          </x14:cfRule>
          <xm:sqref>E15:E20</xm:sqref>
        </x14:conditionalFormatting>
        <x14:conditionalFormatting xmlns:xm="http://schemas.microsoft.com/office/excel/2006/main">
          <x14:cfRule type="expression" priority="389" id="{00000000-000E-0000-0000-000085010000}">
            <xm:f>AND(E25&lt;&gt;"",OR(4=0,COUNTIF(祝日!$A$2:$A$75,DATE($C$1,9,E25))&gt;0))</xm:f>
            <x14:dxf>
              <font>
                <b/>
                <color rgb="FFC62828"/>
              </font>
            </x14:dxf>
          </x14:cfRule>
          <xm:sqref>E25:E30</xm:sqref>
        </x14:conditionalFormatting>
        <x14:conditionalFormatting xmlns:xm="http://schemas.microsoft.com/office/excel/2006/main">
          <x14:cfRule type="expression" priority="6" id="{00000000-000E-0000-0000-000006000000}">
            <xm:f>AND(F5&lt;&gt;"",OR(5=0,COUNTIF(祝日!$A$2:$A$75,DATE($C$1,1,F5))&gt;0))</xm:f>
            <x14:dxf>
              <font>
                <b/>
                <color rgb="FFC62828"/>
              </font>
            </x14:dxf>
          </x14:cfRule>
          <xm:sqref>F5:F10</xm:sqref>
        </x14:conditionalFormatting>
        <x14:conditionalFormatting xmlns:xm="http://schemas.microsoft.com/office/excel/2006/main">
          <x14:cfRule type="expression" priority="198" id="{00000000-000E-0000-0000-0000C6000000}">
            <xm:f>AND(F15&lt;&gt;"",OR(5=0,COUNTIF(祝日!$A$2:$A$75,DATE($C$1,5,F15))&gt;0))</xm:f>
            <x14:dxf>
              <font>
                <b/>
                <color rgb="FFC62828"/>
              </font>
            </x14:dxf>
          </x14:cfRule>
          <xm:sqref>F15:F20</xm:sqref>
        </x14:conditionalFormatting>
        <x14:conditionalFormatting xmlns:xm="http://schemas.microsoft.com/office/excel/2006/main">
          <x14:cfRule type="expression" priority="390" id="{00000000-000E-0000-0000-000086010000}">
            <xm:f>AND(F25&lt;&gt;"",OR(5=0,COUNTIF(祝日!$A$2:$A$75,DATE($C$1,9,F25))&gt;0))</xm:f>
            <x14:dxf>
              <font>
                <b/>
                <color rgb="FFC62828"/>
              </font>
            </x14:dxf>
          </x14:cfRule>
          <xm:sqref>F25:F30</xm:sqref>
        </x14:conditionalFormatting>
        <x14:conditionalFormatting xmlns:xm="http://schemas.microsoft.com/office/excel/2006/main">
          <x14:cfRule type="expression" priority="7" id="{00000000-000E-0000-0000-000007000000}">
            <xm:f>AND(G5&lt;&gt;"",OR(6=0,COUNTIF(祝日!$A$2:$A$75,DATE($C$1,1,G5))&gt;0))</xm:f>
            <x14:dxf>
              <font>
                <b/>
                <color rgb="FFC62828"/>
              </font>
            </x14:dxf>
          </x14:cfRule>
          <x14:cfRule type="expression" priority="8" id="{00000000-000E-0000-0000-000008000000}">
            <xm:f>AND(G5&lt;&gt;"",COUNTIF(祝日!$A$2:$A$75,DATE($C$1,1,G5))=0)</xm:f>
            <x14:dxf>
              <font>
                <b/>
                <color rgb="FF1E5AA8"/>
              </font>
            </x14:dxf>
          </x14:cfRule>
          <xm:sqref>G5:G10</xm:sqref>
        </x14:conditionalFormatting>
        <x14:conditionalFormatting xmlns:xm="http://schemas.microsoft.com/office/excel/2006/main">
          <x14:cfRule type="expression" priority="200" id="{00000000-000E-0000-0000-0000C8000000}">
            <xm:f>AND(G15&lt;&gt;"",COUNTIF(祝日!$A$2:$A$75,DATE($C$1,5,G15))=0)</xm:f>
            <x14:dxf>
              <font>
                <b/>
                <color rgb="FF1E5AA8"/>
              </font>
            </x14:dxf>
          </x14:cfRule>
          <x14:cfRule type="expression" priority="199" id="{00000000-000E-0000-0000-0000C7000000}">
            <xm:f>AND(G15&lt;&gt;"",OR(6=0,COUNTIF(祝日!$A$2:$A$75,DATE($C$1,5,G15))&gt;0))</xm:f>
            <x14:dxf>
              <font>
                <b/>
                <color rgb="FFC62828"/>
              </font>
            </x14:dxf>
          </x14:cfRule>
          <xm:sqref>G15:G20</xm:sqref>
        </x14:conditionalFormatting>
        <x14:conditionalFormatting xmlns:xm="http://schemas.microsoft.com/office/excel/2006/main">
          <x14:cfRule type="expression" priority="391" id="{00000000-000E-0000-0000-000087010000}">
            <xm:f>AND(G25&lt;&gt;"",OR(6=0,COUNTIF(祝日!$A$2:$A$75,DATE($C$1,9,G25))&gt;0))</xm:f>
            <x14:dxf>
              <font>
                <b/>
                <color rgb="FFC62828"/>
              </font>
            </x14:dxf>
          </x14:cfRule>
          <x14:cfRule type="expression" priority="392" id="{00000000-000E-0000-0000-000088010000}">
            <xm:f>AND(G25&lt;&gt;"",COUNTIF(祝日!$A$2:$A$75,DATE($C$1,9,G25))=0)</xm:f>
            <x14:dxf>
              <font>
                <b/>
                <color rgb="FF1E5AA8"/>
              </font>
            </x14:dxf>
          </x14:cfRule>
          <xm:sqref>G25:G30</xm:sqref>
        </x14:conditionalFormatting>
        <x14:conditionalFormatting xmlns:xm="http://schemas.microsoft.com/office/excel/2006/main">
          <x14:cfRule type="expression" priority="49" id="{00000000-000E-0000-0000-000031000000}">
            <xm:f>AND(I5&lt;&gt;"",OR(0=0,COUNTIF(祝日!$A$2:$A$75,DATE($C$1,2,I5))&gt;0))</xm:f>
            <x14:dxf>
              <font>
                <b/>
                <color rgb="FFC62828"/>
              </font>
            </x14:dxf>
          </x14:cfRule>
          <xm:sqref>I5:I10</xm:sqref>
        </x14:conditionalFormatting>
        <x14:conditionalFormatting xmlns:xm="http://schemas.microsoft.com/office/excel/2006/main">
          <x14:cfRule type="expression" priority="241" id="{00000000-000E-0000-0000-0000F1000000}">
            <xm:f>AND(I15&lt;&gt;"",OR(0=0,COUNTIF(祝日!$A$2:$A$75,DATE($C$1,6,I15))&gt;0))</xm:f>
            <x14:dxf>
              <font>
                <b/>
                <color rgb="FFC62828"/>
              </font>
            </x14:dxf>
          </x14:cfRule>
          <xm:sqref>I15:I20</xm:sqref>
        </x14:conditionalFormatting>
        <x14:conditionalFormatting xmlns:xm="http://schemas.microsoft.com/office/excel/2006/main">
          <x14:cfRule type="expression" priority="433" id="{00000000-000E-0000-0000-0000B1010000}">
            <xm:f>AND(I25&lt;&gt;"",OR(0=0,COUNTIF(祝日!$A$2:$A$75,DATE($C$1,10,I25))&gt;0))</xm:f>
            <x14:dxf>
              <font>
                <b/>
                <color rgb="FFC62828"/>
              </font>
            </x14:dxf>
          </x14:cfRule>
          <xm:sqref>I25:I30</xm:sqref>
        </x14:conditionalFormatting>
        <x14:conditionalFormatting xmlns:xm="http://schemas.microsoft.com/office/excel/2006/main">
          <x14:cfRule type="expression" priority="50" id="{00000000-000E-0000-0000-000032000000}">
            <xm:f>AND(J5&lt;&gt;"",OR(1=0,COUNTIF(祝日!$A$2:$A$75,DATE($C$1,2,J5))&gt;0))</xm:f>
            <x14:dxf>
              <font>
                <b/>
                <color rgb="FFC62828"/>
              </font>
            </x14:dxf>
          </x14:cfRule>
          <xm:sqref>J5:J10</xm:sqref>
        </x14:conditionalFormatting>
        <x14:conditionalFormatting xmlns:xm="http://schemas.microsoft.com/office/excel/2006/main">
          <x14:cfRule type="expression" priority="242" id="{00000000-000E-0000-0000-0000F2000000}">
            <xm:f>AND(J15&lt;&gt;"",OR(1=0,COUNTIF(祝日!$A$2:$A$75,DATE($C$1,6,J15))&gt;0))</xm:f>
            <x14:dxf>
              <font>
                <b/>
                <color rgb="FFC62828"/>
              </font>
            </x14:dxf>
          </x14:cfRule>
          <xm:sqref>J15:J20</xm:sqref>
        </x14:conditionalFormatting>
        <x14:conditionalFormatting xmlns:xm="http://schemas.microsoft.com/office/excel/2006/main">
          <x14:cfRule type="expression" priority="434" id="{00000000-000E-0000-0000-0000B2010000}">
            <xm:f>AND(J25&lt;&gt;"",OR(1=0,COUNTIF(祝日!$A$2:$A$75,DATE($C$1,10,J25))&gt;0))</xm:f>
            <x14:dxf>
              <font>
                <b/>
                <color rgb="FFC62828"/>
              </font>
            </x14:dxf>
          </x14:cfRule>
          <xm:sqref>J25:J30</xm:sqref>
        </x14:conditionalFormatting>
        <x14:conditionalFormatting xmlns:xm="http://schemas.microsoft.com/office/excel/2006/main">
          <x14:cfRule type="expression" priority="51" id="{00000000-000E-0000-0000-000033000000}">
            <xm:f>AND(K5&lt;&gt;"",OR(2=0,COUNTIF(祝日!$A$2:$A$75,DATE($C$1,2,K5))&gt;0))</xm:f>
            <x14:dxf>
              <font>
                <b/>
                <color rgb="FFC62828"/>
              </font>
            </x14:dxf>
          </x14:cfRule>
          <xm:sqref>K5:K10</xm:sqref>
        </x14:conditionalFormatting>
        <x14:conditionalFormatting xmlns:xm="http://schemas.microsoft.com/office/excel/2006/main">
          <x14:cfRule type="expression" priority="243" id="{00000000-000E-0000-0000-0000F3000000}">
            <xm:f>AND(K15&lt;&gt;"",OR(2=0,COUNTIF(祝日!$A$2:$A$75,DATE($C$1,6,K15))&gt;0))</xm:f>
            <x14:dxf>
              <font>
                <b/>
                <color rgb="FFC62828"/>
              </font>
            </x14:dxf>
          </x14:cfRule>
          <xm:sqref>K15:K20</xm:sqref>
        </x14:conditionalFormatting>
        <x14:conditionalFormatting xmlns:xm="http://schemas.microsoft.com/office/excel/2006/main">
          <x14:cfRule type="expression" priority="435" id="{00000000-000E-0000-0000-0000B3010000}">
            <xm:f>AND(K25&lt;&gt;"",OR(2=0,COUNTIF(祝日!$A$2:$A$75,DATE($C$1,10,K25))&gt;0))</xm:f>
            <x14:dxf>
              <font>
                <b/>
                <color rgb="FFC62828"/>
              </font>
            </x14:dxf>
          </x14:cfRule>
          <xm:sqref>K25:K30</xm:sqref>
        </x14:conditionalFormatting>
        <x14:conditionalFormatting xmlns:xm="http://schemas.microsoft.com/office/excel/2006/main">
          <x14:cfRule type="expression" priority="52" id="{00000000-000E-0000-0000-000034000000}">
            <xm:f>AND(L5&lt;&gt;"",OR(3=0,COUNTIF(祝日!$A$2:$A$75,DATE($C$1,2,L5))&gt;0))</xm:f>
            <x14:dxf>
              <font>
                <b/>
                <color rgb="FFC62828"/>
              </font>
            </x14:dxf>
          </x14:cfRule>
          <xm:sqref>L5:L10</xm:sqref>
        </x14:conditionalFormatting>
        <x14:conditionalFormatting xmlns:xm="http://schemas.microsoft.com/office/excel/2006/main">
          <x14:cfRule type="expression" priority="244" id="{00000000-000E-0000-0000-0000F4000000}">
            <xm:f>AND(L15&lt;&gt;"",OR(3=0,COUNTIF(祝日!$A$2:$A$75,DATE($C$1,6,L15))&gt;0))</xm:f>
            <x14:dxf>
              <font>
                <b/>
                <color rgb="FFC62828"/>
              </font>
            </x14:dxf>
          </x14:cfRule>
          <xm:sqref>L15:L20</xm:sqref>
        </x14:conditionalFormatting>
        <x14:conditionalFormatting xmlns:xm="http://schemas.microsoft.com/office/excel/2006/main">
          <x14:cfRule type="expression" priority="436" id="{00000000-000E-0000-0000-0000B4010000}">
            <xm:f>AND(L25&lt;&gt;"",OR(3=0,COUNTIF(祝日!$A$2:$A$75,DATE($C$1,10,L25))&gt;0))</xm:f>
            <x14:dxf>
              <font>
                <b/>
                <color rgb="FFC62828"/>
              </font>
            </x14:dxf>
          </x14:cfRule>
          <xm:sqref>L25:L30</xm:sqref>
        </x14:conditionalFormatting>
        <x14:conditionalFormatting xmlns:xm="http://schemas.microsoft.com/office/excel/2006/main">
          <x14:cfRule type="expression" priority="53" id="{00000000-000E-0000-0000-000035000000}">
            <xm:f>AND(M5&lt;&gt;"",OR(4=0,COUNTIF(祝日!$A$2:$A$75,DATE($C$1,2,M5))&gt;0))</xm:f>
            <x14:dxf>
              <font>
                <b/>
                <color rgb="FFC62828"/>
              </font>
            </x14:dxf>
          </x14:cfRule>
          <xm:sqref>M5:M10</xm:sqref>
        </x14:conditionalFormatting>
        <x14:conditionalFormatting xmlns:xm="http://schemas.microsoft.com/office/excel/2006/main">
          <x14:cfRule type="expression" priority="245" id="{00000000-000E-0000-0000-0000F5000000}">
            <xm:f>AND(M15&lt;&gt;"",OR(4=0,COUNTIF(祝日!$A$2:$A$75,DATE($C$1,6,M15))&gt;0))</xm:f>
            <x14:dxf>
              <font>
                <b/>
                <color rgb="FFC62828"/>
              </font>
            </x14:dxf>
          </x14:cfRule>
          <xm:sqref>M15:M20</xm:sqref>
        </x14:conditionalFormatting>
        <x14:conditionalFormatting xmlns:xm="http://schemas.microsoft.com/office/excel/2006/main">
          <x14:cfRule type="expression" priority="437" id="{00000000-000E-0000-0000-0000B5010000}">
            <xm:f>AND(M25&lt;&gt;"",OR(4=0,COUNTIF(祝日!$A$2:$A$75,DATE($C$1,10,M25))&gt;0))</xm:f>
            <x14:dxf>
              <font>
                <b/>
                <color rgb="FFC62828"/>
              </font>
            </x14:dxf>
          </x14:cfRule>
          <xm:sqref>M25:M30</xm:sqref>
        </x14:conditionalFormatting>
        <x14:conditionalFormatting xmlns:xm="http://schemas.microsoft.com/office/excel/2006/main">
          <x14:cfRule type="expression" priority="54" id="{00000000-000E-0000-0000-000036000000}">
            <xm:f>AND(N5&lt;&gt;"",OR(5=0,COUNTIF(祝日!$A$2:$A$75,DATE($C$1,2,N5))&gt;0))</xm:f>
            <x14:dxf>
              <font>
                <b/>
                <color rgb="FFC62828"/>
              </font>
            </x14:dxf>
          </x14:cfRule>
          <xm:sqref>N5:N10</xm:sqref>
        </x14:conditionalFormatting>
        <x14:conditionalFormatting xmlns:xm="http://schemas.microsoft.com/office/excel/2006/main">
          <x14:cfRule type="expression" priority="246" id="{00000000-000E-0000-0000-0000F6000000}">
            <xm:f>AND(N15&lt;&gt;"",OR(5=0,COUNTIF(祝日!$A$2:$A$75,DATE($C$1,6,N15))&gt;0))</xm:f>
            <x14:dxf>
              <font>
                <b/>
                <color rgb="FFC62828"/>
              </font>
            </x14:dxf>
          </x14:cfRule>
          <xm:sqref>N15:N20</xm:sqref>
        </x14:conditionalFormatting>
        <x14:conditionalFormatting xmlns:xm="http://schemas.microsoft.com/office/excel/2006/main">
          <x14:cfRule type="expression" priority="438" id="{00000000-000E-0000-0000-0000B6010000}">
            <xm:f>AND(N25&lt;&gt;"",OR(5=0,COUNTIF(祝日!$A$2:$A$75,DATE($C$1,10,N25))&gt;0))</xm:f>
            <x14:dxf>
              <font>
                <b/>
                <color rgb="FFC62828"/>
              </font>
            </x14:dxf>
          </x14:cfRule>
          <xm:sqref>N25:N30</xm:sqref>
        </x14:conditionalFormatting>
        <x14:conditionalFormatting xmlns:xm="http://schemas.microsoft.com/office/excel/2006/main">
          <x14:cfRule type="expression" priority="55" id="{00000000-000E-0000-0000-000037000000}">
            <xm:f>AND(O5&lt;&gt;"",OR(6=0,COUNTIF(祝日!$A$2:$A$75,DATE($C$1,2,O5))&gt;0))</xm:f>
            <x14:dxf>
              <font>
                <b/>
                <color rgb="FFC62828"/>
              </font>
            </x14:dxf>
          </x14:cfRule>
          <x14:cfRule type="expression" priority="56" id="{00000000-000E-0000-0000-000038000000}">
            <xm:f>AND(O5&lt;&gt;"",COUNTIF(祝日!$A$2:$A$75,DATE($C$1,2,O5))=0)</xm:f>
            <x14:dxf>
              <font>
                <b/>
                <color rgb="FF1E5AA8"/>
              </font>
            </x14:dxf>
          </x14:cfRule>
          <xm:sqref>O5:O10</xm:sqref>
        </x14:conditionalFormatting>
        <x14:conditionalFormatting xmlns:xm="http://schemas.microsoft.com/office/excel/2006/main">
          <x14:cfRule type="expression" priority="248" id="{00000000-000E-0000-0000-0000F8000000}">
            <xm:f>AND(O15&lt;&gt;"",COUNTIF(祝日!$A$2:$A$75,DATE($C$1,6,O15))=0)</xm:f>
            <x14:dxf>
              <font>
                <b/>
                <color rgb="FF1E5AA8"/>
              </font>
            </x14:dxf>
          </x14:cfRule>
          <x14:cfRule type="expression" priority="247" id="{00000000-000E-0000-0000-0000F7000000}">
            <xm:f>AND(O15&lt;&gt;"",OR(6=0,COUNTIF(祝日!$A$2:$A$75,DATE($C$1,6,O15))&gt;0))</xm:f>
            <x14:dxf>
              <font>
                <b/>
                <color rgb="FFC62828"/>
              </font>
            </x14:dxf>
          </x14:cfRule>
          <xm:sqref>O15:O20</xm:sqref>
        </x14:conditionalFormatting>
        <x14:conditionalFormatting xmlns:xm="http://schemas.microsoft.com/office/excel/2006/main">
          <x14:cfRule type="expression" priority="440" id="{00000000-000E-0000-0000-0000B8010000}">
            <xm:f>AND(O25&lt;&gt;"",COUNTIF(祝日!$A$2:$A$75,DATE($C$1,10,O25))=0)</xm:f>
            <x14:dxf>
              <font>
                <b/>
                <color rgb="FF1E5AA8"/>
              </font>
            </x14:dxf>
          </x14:cfRule>
          <x14:cfRule type="expression" priority="439" id="{00000000-000E-0000-0000-0000B7010000}">
            <xm:f>AND(O25&lt;&gt;"",OR(6=0,COUNTIF(祝日!$A$2:$A$75,DATE($C$1,10,O25))&gt;0))</xm:f>
            <x14:dxf>
              <font>
                <b/>
                <color rgb="FFC62828"/>
              </font>
            </x14:dxf>
          </x14:cfRule>
          <xm:sqref>O25:O30</xm:sqref>
        </x14:conditionalFormatting>
        <x14:conditionalFormatting xmlns:xm="http://schemas.microsoft.com/office/excel/2006/main">
          <x14:cfRule type="expression" priority="97" id="{00000000-000E-0000-0000-000061000000}">
            <xm:f>AND(Q5&lt;&gt;"",OR(0=0,COUNTIF(祝日!$A$2:$A$75,DATE($C$1,3,Q5))&gt;0))</xm:f>
            <x14:dxf>
              <font>
                <b/>
                <color rgb="FFC62828"/>
              </font>
            </x14:dxf>
          </x14:cfRule>
          <xm:sqref>Q5:Q10</xm:sqref>
        </x14:conditionalFormatting>
        <x14:conditionalFormatting xmlns:xm="http://schemas.microsoft.com/office/excel/2006/main">
          <x14:cfRule type="expression" priority="289" id="{00000000-000E-0000-0000-000021010000}">
            <xm:f>AND(Q15&lt;&gt;"",OR(0=0,COUNTIF(祝日!$A$2:$A$75,DATE($C$1,7,Q15))&gt;0))</xm:f>
            <x14:dxf>
              <font>
                <b/>
                <color rgb="FFC62828"/>
              </font>
            </x14:dxf>
          </x14:cfRule>
          <xm:sqref>Q15:Q20</xm:sqref>
        </x14:conditionalFormatting>
        <x14:conditionalFormatting xmlns:xm="http://schemas.microsoft.com/office/excel/2006/main">
          <x14:cfRule type="expression" priority="481" id="{00000000-000E-0000-0000-0000E1010000}">
            <xm:f>AND(Q25&lt;&gt;"",OR(0=0,COUNTIF(祝日!$A$2:$A$75,DATE($C$1,11,Q25))&gt;0))</xm:f>
            <x14:dxf>
              <font>
                <b/>
                <color rgb="FFC62828"/>
              </font>
            </x14:dxf>
          </x14:cfRule>
          <xm:sqref>Q25:Q30</xm:sqref>
        </x14:conditionalFormatting>
        <x14:conditionalFormatting xmlns:xm="http://schemas.microsoft.com/office/excel/2006/main">
          <x14:cfRule type="expression" priority="98" id="{00000000-000E-0000-0000-000062000000}">
            <xm:f>AND(R5&lt;&gt;"",OR(1=0,COUNTIF(祝日!$A$2:$A$75,DATE($C$1,3,R5))&gt;0))</xm:f>
            <x14:dxf>
              <font>
                <b/>
                <color rgb="FFC62828"/>
              </font>
            </x14:dxf>
          </x14:cfRule>
          <xm:sqref>R5:R10</xm:sqref>
        </x14:conditionalFormatting>
        <x14:conditionalFormatting xmlns:xm="http://schemas.microsoft.com/office/excel/2006/main">
          <x14:cfRule type="expression" priority="290" id="{00000000-000E-0000-0000-000022010000}">
            <xm:f>AND(R15&lt;&gt;"",OR(1=0,COUNTIF(祝日!$A$2:$A$75,DATE($C$1,7,R15))&gt;0))</xm:f>
            <x14:dxf>
              <font>
                <b/>
                <color rgb="FFC62828"/>
              </font>
            </x14:dxf>
          </x14:cfRule>
          <xm:sqref>R15:R20</xm:sqref>
        </x14:conditionalFormatting>
        <x14:conditionalFormatting xmlns:xm="http://schemas.microsoft.com/office/excel/2006/main">
          <x14:cfRule type="expression" priority="482" id="{00000000-000E-0000-0000-0000E2010000}">
            <xm:f>AND(R25&lt;&gt;"",OR(1=0,COUNTIF(祝日!$A$2:$A$75,DATE($C$1,11,R25))&gt;0))</xm:f>
            <x14:dxf>
              <font>
                <b/>
                <color rgb="FFC62828"/>
              </font>
            </x14:dxf>
          </x14:cfRule>
          <xm:sqref>R25:R30</xm:sqref>
        </x14:conditionalFormatting>
        <x14:conditionalFormatting xmlns:xm="http://schemas.microsoft.com/office/excel/2006/main">
          <x14:cfRule type="expression" priority="99" id="{00000000-000E-0000-0000-000063000000}">
            <xm:f>AND(S5&lt;&gt;"",OR(2=0,COUNTIF(祝日!$A$2:$A$75,DATE($C$1,3,S5))&gt;0))</xm:f>
            <x14:dxf>
              <font>
                <b/>
                <color rgb="FFC62828"/>
              </font>
            </x14:dxf>
          </x14:cfRule>
          <xm:sqref>S5:S10</xm:sqref>
        </x14:conditionalFormatting>
        <x14:conditionalFormatting xmlns:xm="http://schemas.microsoft.com/office/excel/2006/main">
          <x14:cfRule type="expression" priority="291" id="{00000000-000E-0000-0000-000023010000}">
            <xm:f>AND(S15&lt;&gt;"",OR(2=0,COUNTIF(祝日!$A$2:$A$75,DATE($C$1,7,S15))&gt;0))</xm:f>
            <x14:dxf>
              <font>
                <b/>
                <color rgb="FFC62828"/>
              </font>
            </x14:dxf>
          </x14:cfRule>
          <xm:sqref>S15:S20</xm:sqref>
        </x14:conditionalFormatting>
        <x14:conditionalFormatting xmlns:xm="http://schemas.microsoft.com/office/excel/2006/main">
          <x14:cfRule type="expression" priority="483" id="{00000000-000E-0000-0000-0000E3010000}">
            <xm:f>AND(S25&lt;&gt;"",OR(2=0,COUNTIF(祝日!$A$2:$A$75,DATE($C$1,11,S25))&gt;0))</xm:f>
            <x14:dxf>
              <font>
                <b/>
                <color rgb="FFC62828"/>
              </font>
            </x14:dxf>
          </x14:cfRule>
          <xm:sqref>S25:S30</xm:sqref>
        </x14:conditionalFormatting>
        <x14:conditionalFormatting xmlns:xm="http://schemas.microsoft.com/office/excel/2006/main">
          <x14:cfRule type="expression" priority="100" id="{00000000-000E-0000-0000-000064000000}">
            <xm:f>AND(T5&lt;&gt;"",OR(3=0,COUNTIF(祝日!$A$2:$A$75,DATE($C$1,3,T5))&gt;0))</xm:f>
            <x14:dxf>
              <font>
                <b/>
                <color rgb="FFC62828"/>
              </font>
            </x14:dxf>
          </x14:cfRule>
          <xm:sqref>T5:T10</xm:sqref>
        </x14:conditionalFormatting>
        <x14:conditionalFormatting xmlns:xm="http://schemas.microsoft.com/office/excel/2006/main">
          <x14:cfRule type="expression" priority="292" id="{00000000-000E-0000-0000-000024010000}">
            <xm:f>AND(T15&lt;&gt;"",OR(3=0,COUNTIF(祝日!$A$2:$A$75,DATE($C$1,7,T15))&gt;0))</xm:f>
            <x14:dxf>
              <font>
                <b/>
                <color rgb="FFC62828"/>
              </font>
            </x14:dxf>
          </x14:cfRule>
          <xm:sqref>T15:T20</xm:sqref>
        </x14:conditionalFormatting>
        <x14:conditionalFormatting xmlns:xm="http://schemas.microsoft.com/office/excel/2006/main">
          <x14:cfRule type="expression" priority="484" id="{00000000-000E-0000-0000-0000E4010000}">
            <xm:f>AND(T25&lt;&gt;"",OR(3=0,COUNTIF(祝日!$A$2:$A$75,DATE($C$1,11,T25))&gt;0))</xm:f>
            <x14:dxf>
              <font>
                <b/>
                <color rgb="FFC62828"/>
              </font>
            </x14:dxf>
          </x14:cfRule>
          <xm:sqref>T25:T30</xm:sqref>
        </x14:conditionalFormatting>
        <x14:conditionalFormatting xmlns:xm="http://schemas.microsoft.com/office/excel/2006/main">
          <x14:cfRule type="expression" priority="101" id="{00000000-000E-0000-0000-000065000000}">
            <xm:f>AND(U5&lt;&gt;"",OR(4=0,COUNTIF(祝日!$A$2:$A$75,DATE($C$1,3,U5))&gt;0))</xm:f>
            <x14:dxf>
              <font>
                <b/>
                <color rgb="FFC62828"/>
              </font>
            </x14:dxf>
          </x14:cfRule>
          <xm:sqref>U5:U10</xm:sqref>
        </x14:conditionalFormatting>
        <x14:conditionalFormatting xmlns:xm="http://schemas.microsoft.com/office/excel/2006/main">
          <x14:cfRule type="expression" priority="293" id="{00000000-000E-0000-0000-000025010000}">
            <xm:f>AND(U15&lt;&gt;"",OR(4=0,COUNTIF(祝日!$A$2:$A$75,DATE($C$1,7,U15))&gt;0))</xm:f>
            <x14:dxf>
              <font>
                <b/>
                <color rgb="FFC62828"/>
              </font>
            </x14:dxf>
          </x14:cfRule>
          <xm:sqref>U15:U20</xm:sqref>
        </x14:conditionalFormatting>
        <x14:conditionalFormatting xmlns:xm="http://schemas.microsoft.com/office/excel/2006/main">
          <x14:cfRule type="expression" priority="485" id="{00000000-000E-0000-0000-0000E5010000}">
            <xm:f>AND(U25&lt;&gt;"",OR(4=0,COUNTIF(祝日!$A$2:$A$75,DATE($C$1,11,U25))&gt;0))</xm:f>
            <x14:dxf>
              <font>
                <b/>
                <color rgb="FFC62828"/>
              </font>
            </x14:dxf>
          </x14:cfRule>
          <xm:sqref>U25:U30</xm:sqref>
        </x14:conditionalFormatting>
        <x14:conditionalFormatting xmlns:xm="http://schemas.microsoft.com/office/excel/2006/main">
          <x14:cfRule type="expression" priority="102" id="{00000000-000E-0000-0000-000066000000}">
            <xm:f>AND(V5&lt;&gt;"",OR(5=0,COUNTIF(祝日!$A$2:$A$75,DATE($C$1,3,V5))&gt;0))</xm:f>
            <x14:dxf>
              <font>
                <b/>
                <color rgb="FFC62828"/>
              </font>
            </x14:dxf>
          </x14:cfRule>
          <xm:sqref>V5:V10</xm:sqref>
        </x14:conditionalFormatting>
        <x14:conditionalFormatting xmlns:xm="http://schemas.microsoft.com/office/excel/2006/main">
          <x14:cfRule type="expression" priority="294" id="{00000000-000E-0000-0000-000026010000}">
            <xm:f>AND(V15&lt;&gt;"",OR(5=0,COUNTIF(祝日!$A$2:$A$75,DATE($C$1,7,V15))&gt;0))</xm:f>
            <x14:dxf>
              <font>
                <b/>
                <color rgb="FFC62828"/>
              </font>
            </x14:dxf>
          </x14:cfRule>
          <xm:sqref>V15:V20</xm:sqref>
        </x14:conditionalFormatting>
        <x14:conditionalFormatting xmlns:xm="http://schemas.microsoft.com/office/excel/2006/main">
          <x14:cfRule type="expression" priority="486" id="{00000000-000E-0000-0000-0000E6010000}">
            <xm:f>AND(V25&lt;&gt;"",OR(5=0,COUNTIF(祝日!$A$2:$A$75,DATE($C$1,11,V25))&gt;0))</xm:f>
            <x14:dxf>
              <font>
                <b/>
                <color rgb="FFC62828"/>
              </font>
            </x14:dxf>
          </x14:cfRule>
          <xm:sqref>V25:V30</xm:sqref>
        </x14:conditionalFormatting>
        <x14:conditionalFormatting xmlns:xm="http://schemas.microsoft.com/office/excel/2006/main">
          <x14:cfRule type="expression" priority="104" id="{00000000-000E-0000-0000-000068000000}">
            <xm:f>AND(W5&lt;&gt;"",COUNTIF(祝日!$A$2:$A$75,DATE($C$1,3,W5))=0)</xm:f>
            <x14:dxf>
              <font>
                <b/>
                <color rgb="FF1E5AA8"/>
              </font>
            </x14:dxf>
          </x14:cfRule>
          <x14:cfRule type="expression" priority="103" id="{00000000-000E-0000-0000-000067000000}">
            <xm:f>AND(W5&lt;&gt;"",OR(6=0,COUNTIF(祝日!$A$2:$A$75,DATE($C$1,3,W5))&gt;0))</xm:f>
            <x14:dxf>
              <font>
                <b/>
                <color rgb="FFC62828"/>
              </font>
            </x14:dxf>
          </x14:cfRule>
          <xm:sqref>W5:W10</xm:sqref>
        </x14:conditionalFormatting>
        <x14:conditionalFormatting xmlns:xm="http://schemas.microsoft.com/office/excel/2006/main">
          <x14:cfRule type="expression" priority="295" id="{00000000-000E-0000-0000-000027010000}">
            <xm:f>AND(W15&lt;&gt;"",OR(6=0,COUNTIF(祝日!$A$2:$A$75,DATE($C$1,7,W15))&gt;0))</xm:f>
            <x14:dxf>
              <font>
                <b/>
                <color rgb="FFC62828"/>
              </font>
            </x14:dxf>
          </x14:cfRule>
          <x14:cfRule type="expression" priority="296" id="{00000000-000E-0000-0000-000028010000}">
            <xm:f>AND(W15&lt;&gt;"",COUNTIF(祝日!$A$2:$A$75,DATE($C$1,7,W15))=0)</xm:f>
            <x14:dxf>
              <font>
                <b/>
                <color rgb="FF1E5AA8"/>
              </font>
            </x14:dxf>
          </x14:cfRule>
          <xm:sqref>W15:W20</xm:sqref>
        </x14:conditionalFormatting>
        <x14:conditionalFormatting xmlns:xm="http://schemas.microsoft.com/office/excel/2006/main">
          <x14:cfRule type="expression" priority="487" id="{00000000-000E-0000-0000-0000E7010000}">
            <xm:f>AND(W25&lt;&gt;"",OR(6=0,COUNTIF(祝日!$A$2:$A$75,DATE($C$1,11,W25))&gt;0))</xm:f>
            <x14:dxf>
              <font>
                <b/>
                <color rgb="FFC62828"/>
              </font>
            </x14:dxf>
          </x14:cfRule>
          <x14:cfRule type="expression" priority="488" id="{00000000-000E-0000-0000-0000E8010000}">
            <xm:f>AND(W25&lt;&gt;"",COUNTIF(祝日!$A$2:$A$75,DATE($C$1,11,W25))=0)</xm:f>
            <x14:dxf>
              <font>
                <b/>
                <color rgb="FF1E5AA8"/>
              </font>
            </x14:dxf>
          </x14:cfRule>
          <xm:sqref>W25:W30</xm:sqref>
        </x14:conditionalFormatting>
        <x14:conditionalFormatting xmlns:xm="http://schemas.microsoft.com/office/excel/2006/main">
          <x14:cfRule type="expression" priority="145" id="{00000000-000E-0000-0000-000091000000}">
            <xm:f>AND(Y5&lt;&gt;"",OR(0=0,COUNTIF(祝日!$A$2:$A$75,DATE($C$1,4,Y5))&gt;0))</xm:f>
            <x14:dxf>
              <font>
                <b/>
                <color rgb="FFC62828"/>
              </font>
            </x14:dxf>
          </x14:cfRule>
          <xm:sqref>Y5:Y10</xm:sqref>
        </x14:conditionalFormatting>
        <x14:conditionalFormatting xmlns:xm="http://schemas.microsoft.com/office/excel/2006/main">
          <x14:cfRule type="expression" priority="337" id="{00000000-000E-0000-0000-000051010000}">
            <xm:f>AND(Y15&lt;&gt;"",OR(0=0,COUNTIF(祝日!$A$2:$A$75,DATE($C$1,8,Y15))&gt;0))</xm:f>
            <x14:dxf>
              <font>
                <b/>
                <color rgb="FFC62828"/>
              </font>
            </x14:dxf>
          </x14:cfRule>
          <xm:sqref>Y15:Y20</xm:sqref>
        </x14:conditionalFormatting>
        <x14:conditionalFormatting xmlns:xm="http://schemas.microsoft.com/office/excel/2006/main">
          <x14:cfRule type="expression" priority="529" id="{00000000-000E-0000-0000-000011020000}">
            <xm:f>AND(Y25&lt;&gt;"",OR(0=0,COUNTIF(祝日!$A$2:$A$75,DATE($C$1,12,Y25))&gt;0))</xm:f>
            <x14:dxf>
              <font>
                <b/>
                <color rgb="FFC62828"/>
              </font>
            </x14:dxf>
          </x14:cfRule>
          <xm:sqref>Y25:Y30</xm:sqref>
        </x14:conditionalFormatting>
        <x14:conditionalFormatting xmlns:xm="http://schemas.microsoft.com/office/excel/2006/main">
          <x14:cfRule type="expression" priority="146" id="{00000000-000E-0000-0000-000092000000}">
            <xm:f>AND(Z5&lt;&gt;"",OR(1=0,COUNTIF(祝日!$A$2:$A$75,DATE($C$1,4,Z5))&gt;0))</xm:f>
            <x14:dxf>
              <font>
                <b/>
                <color rgb="FFC62828"/>
              </font>
            </x14:dxf>
          </x14:cfRule>
          <xm:sqref>Z5:Z10</xm:sqref>
        </x14:conditionalFormatting>
        <x14:conditionalFormatting xmlns:xm="http://schemas.microsoft.com/office/excel/2006/main">
          <x14:cfRule type="expression" priority="338" id="{00000000-000E-0000-0000-000052010000}">
            <xm:f>AND(Z15&lt;&gt;"",OR(1=0,COUNTIF(祝日!$A$2:$A$75,DATE($C$1,8,Z15))&gt;0))</xm:f>
            <x14:dxf>
              <font>
                <b/>
                <color rgb="FFC62828"/>
              </font>
            </x14:dxf>
          </x14:cfRule>
          <xm:sqref>Z15:Z20</xm:sqref>
        </x14:conditionalFormatting>
        <x14:conditionalFormatting xmlns:xm="http://schemas.microsoft.com/office/excel/2006/main">
          <x14:cfRule type="expression" priority="530" id="{00000000-000E-0000-0000-000012020000}">
            <xm:f>AND(Z25&lt;&gt;"",OR(1=0,COUNTIF(祝日!$A$2:$A$75,DATE($C$1,12,Z25))&gt;0))</xm:f>
            <x14:dxf>
              <font>
                <b/>
                <color rgb="FFC62828"/>
              </font>
            </x14:dxf>
          </x14:cfRule>
          <xm:sqref>Z25:Z30</xm:sqref>
        </x14:conditionalFormatting>
        <x14:conditionalFormatting xmlns:xm="http://schemas.microsoft.com/office/excel/2006/main">
          <x14:cfRule type="expression" priority="147" id="{00000000-000E-0000-0000-000093000000}">
            <xm:f>AND(AA5&lt;&gt;"",OR(2=0,COUNTIF(祝日!$A$2:$A$75,DATE($C$1,4,AA5))&gt;0))</xm:f>
            <x14:dxf>
              <font>
                <b/>
                <color rgb="FFC62828"/>
              </font>
            </x14:dxf>
          </x14:cfRule>
          <xm:sqref>AA5:AA10</xm:sqref>
        </x14:conditionalFormatting>
        <x14:conditionalFormatting xmlns:xm="http://schemas.microsoft.com/office/excel/2006/main">
          <x14:cfRule type="expression" priority="339" id="{00000000-000E-0000-0000-000053010000}">
            <xm:f>AND(AA15&lt;&gt;"",OR(2=0,COUNTIF(祝日!$A$2:$A$75,DATE($C$1,8,AA15))&gt;0))</xm:f>
            <x14:dxf>
              <font>
                <b/>
                <color rgb="FFC62828"/>
              </font>
            </x14:dxf>
          </x14:cfRule>
          <xm:sqref>AA15:AA20</xm:sqref>
        </x14:conditionalFormatting>
        <x14:conditionalFormatting xmlns:xm="http://schemas.microsoft.com/office/excel/2006/main">
          <x14:cfRule type="expression" priority="531" id="{00000000-000E-0000-0000-000013020000}">
            <xm:f>AND(AA25&lt;&gt;"",OR(2=0,COUNTIF(祝日!$A$2:$A$75,DATE($C$1,12,AA25))&gt;0))</xm:f>
            <x14:dxf>
              <font>
                <b/>
                <color rgb="FFC62828"/>
              </font>
            </x14:dxf>
          </x14:cfRule>
          <xm:sqref>AA25:AA30</xm:sqref>
        </x14:conditionalFormatting>
        <x14:conditionalFormatting xmlns:xm="http://schemas.microsoft.com/office/excel/2006/main">
          <x14:cfRule type="expression" priority="148" id="{00000000-000E-0000-0000-000094000000}">
            <xm:f>AND(AB5&lt;&gt;"",OR(3=0,COUNTIF(祝日!$A$2:$A$75,DATE($C$1,4,AB5))&gt;0))</xm:f>
            <x14:dxf>
              <font>
                <b/>
                <color rgb="FFC62828"/>
              </font>
            </x14:dxf>
          </x14:cfRule>
          <xm:sqref>AB5:AB10</xm:sqref>
        </x14:conditionalFormatting>
        <x14:conditionalFormatting xmlns:xm="http://schemas.microsoft.com/office/excel/2006/main">
          <x14:cfRule type="expression" priority="340" id="{00000000-000E-0000-0000-000054010000}">
            <xm:f>AND(AB15&lt;&gt;"",OR(3=0,COUNTIF(祝日!$A$2:$A$75,DATE($C$1,8,AB15))&gt;0))</xm:f>
            <x14:dxf>
              <font>
                <b/>
                <color rgb="FFC62828"/>
              </font>
            </x14:dxf>
          </x14:cfRule>
          <xm:sqref>AB15:AB20</xm:sqref>
        </x14:conditionalFormatting>
        <x14:conditionalFormatting xmlns:xm="http://schemas.microsoft.com/office/excel/2006/main">
          <x14:cfRule type="expression" priority="532" id="{00000000-000E-0000-0000-000014020000}">
            <xm:f>AND(AB25&lt;&gt;"",OR(3=0,COUNTIF(祝日!$A$2:$A$75,DATE($C$1,12,AB25))&gt;0))</xm:f>
            <x14:dxf>
              <font>
                <b/>
                <color rgb="FFC62828"/>
              </font>
            </x14:dxf>
          </x14:cfRule>
          <xm:sqref>AB25:AB30</xm:sqref>
        </x14:conditionalFormatting>
        <x14:conditionalFormatting xmlns:xm="http://schemas.microsoft.com/office/excel/2006/main">
          <x14:cfRule type="expression" priority="149" id="{00000000-000E-0000-0000-000095000000}">
            <xm:f>AND(AC5&lt;&gt;"",OR(4=0,COUNTIF(祝日!$A$2:$A$75,DATE($C$1,4,AC5))&gt;0))</xm:f>
            <x14:dxf>
              <font>
                <b/>
                <color rgb="FFC62828"/>
              </font>
            </x14:dxf>
          </x14:cfRule>
          <xm:sqref>AC5:AC10</xm:sqref>
        </x14:conditionalFormatting>
        <x14:conditionalFormatting xmlns:xm="http://schemas.microsoft.com/office/excel/2006/main">
          <x14:cfRule type="expression" priority="341" id="{00000000-000E-0000-0000-000055010000}">
            <xm:f>AND(AC15&lt;&gt;"",OR(4=0,COUNTIF(祝日!$A$2:$A$75,DATE($C$1,8,AC15))&gt;0))</xm:f>
            <x14:dxf>
              <font>
                <b/>
                <color rgb="FFC62828"/>
              </font>
            </x14:dxf>
          </x14:cfRule>
          <xm:sqref>AC15:AC20</xm:sqref>
        </x14:conditionalFormatting>
        <x14:conditionalFormatting xmlns:xm="http://schemas.microsoft.com/office/excel/2006/main">
          <x14:cfRule type="expression" priority="533" id="{00000000-000E-0000-0000-000015020000}">
            <xm:f>AND(AC25&lt;&gt;"",OR(4=0,COUNTIF(祝日!$A$2:$A$75,DATE($C$1,12,AC25))&gt;0))</xm:f>
            <x14:dxf>
              <font>
                <b/>
                <color rgb="FFC62828"/>
              </font>
            </x14:dxf>
          </x14:cfRule>
          <xm:sqref>AC25:AC30</xm:sqref>
        </x14:conditionalFormatting>
        <x14:conditionalFormatting xmlns:xm="http://schemas.microsoft.com/office/excel/2006/main">
          <x14:cfRule type="expression" priority="150" id="{00000000-000E-0000-0000-000096000000}">
            <xm:f>AND(AD5&lt;&gt;"",OR(5=0,COUNTIF(祝日!$A$2:$A$75,DATE($C$1,4,AD5))&gt;0))</xm:f>
            <x14:dxf>
              <font>
                <b/>
                <color rgb="FFC62828"/>
              </font>
            </x14:dxf>
          </x14:cfRule>
          <xm:sqref>AD5:AD10</xm:sqref>
        </x14:conditionalFormatting>
        <x14:conditionalFormatting xmlns:xm="http://schemas.microsoft.com/office/excel/2006/main">
          <x14:cfRule type="expression" priority="342" id="{00000000-000E-0000-0000-000056010000}">
            <xm:f>AND(AD15&lt;&gt;"",OR(5=0,COUNTIF(祝日!$A$2:$A$75,DATE($C$1,8,AD15))&gt;0))</xm:f>
            <x14:dxf>
              <font>
                <b/>
                <color rgb="FFC62828"/>
              </font>
            </x14:dxf>
          </x14:cfRule>
          <xm:sqref>AD15:AD20</xm:sqref>
        </x14:conditionalFormatting>
        <x14:conditionalFormatting xmlns:xm="http://schemas.microsoft.com/office/excel/2006/main">
          <x14:cfRule type="expression" priority="534" id="{00000000-000E-0000-0000-000016020000}">
            <xm:f>AND(AD25&lt;&gt;"",OR(5=0,COUNTIF(祝日!$A$2:$A$75,DATE($C$1,12,AD25))&gt;0))</xm:f>
            <x14:dxf>
              <font>
                <b/>
                <color rgb="FFC62828"/>
              </font>
            </x14:dxf>
          </x14:cfRule>
          <xm:sqref>AD25:AD30</xm:sqref>
        </x14:conditionalFormatting>
        <x14:conditionalFormatting xmlns:xm="http://schemas.microsoft.com/office/excel/2006/main">
          <x14:cfRule type="expression" priority="151" id="{00000000-000E-0000-0000-000097000000}">
            <xm:f>AND(AE5&lt;&gt;"",OR(6=0,COUNTIF(祝日!$A$2:$A$75,DATE($C$1,4,AE5))&gt;0))</xm:f>
            <x14:dxf>
              <font>
                <b/>
                <color rgb="FFC62828"/>
              </font>
            </x14:dxf>
          </x14:cfRule>
          <x14:cfRule type="expression" priority="152" id="{00000000-000E-0000-0000-000098000000}">
            <xm:f>AND(AE5&lt;&gt;"",COUNTIF(祝日!$A$2:$A$75,DATE($C$1,4,AE5))=0)</xm:f>
            <x14:dxf>
              <font>
                <b/>
                <color rgb="FF1E5AA8"/>
              </font>
            </x14:dxf>
          </x14:cfRule>
          <xm:sqref>AE5:AE10</xm:sqref>
        </x14:conditionalFormatting>
        <x14:conditionalFormatting xmlns:xm="http://schemas.microsoft.com/office/excel/2006/main">
          <x14:cfRule type="expression" priority="344" id="{00000000-000E-0000-0000-000058010000}">
            <xm:f>AND(AE15&lt;&gt;"",COUNTIF(祝日!$A$2:$A$75,DATE($C$1,8,AE15))=0)</xm:f>
            <x14:dxf>
              <font>
                <b/>
                <color rgb="FF1E5AA8"/>
              </font>
            </x14:dxf>
          </x14:cfRule>
          <x14:cfRule type="expression" priority="343" id="{00000000-000E-0000-0000-000057010000}">
            <xm:f>AND(AE15&lt;&gt;"",OR(6=0,COUNTIF(祝日!$A$2:$A$75,DATE($C$1,8,AE15))&gt;0))</xm:f>
            <x14:dxf>
              <font>
                <b/>
                <color rgb="FFC62828"/>
              </font>
            </x14:dxf>
          </x14:cfRule>
          <xm:sqref>AE15:AE20</xm:sqref>
        </x14:conditionalFormatting>
        <x14:conditionalFormatting xmlns:xm="http://schemas.microsoft.com/office/excel/2006/main">
          <x14:cfRule type="expression" priority="535" id="{00000000-000E-0000-0000-000017020000}">
            <xm:f>AND(AE25&lt;&gt;"",OR(6=0,COUNTIF(祝日!$A$2:$A$75,DATE($C$1,12,AE25))&gt;0))</xm:f>
            <x14:dxf>
              <font>
                <b/>
                <color rgb="FFC62828"/>
              </font>
            </x14:dxf>
          </x14:cfRule>
          <x14:cfRule type="expression" priority="536" id="{00000000-000E-0000-0000-000018020000}">
            <xm:f>AND(AE25&lt;&gt;"",COUNTIF(祝日!$A$2:$A$75,DATE($C$1,12,AE25))=0)</xm:f>
            <x14:dxf>
              <font>
                <b/>
                <color rgb="FF1E5AA8"/>
              </font>
            </x14:dxf>
          </x14:cfRule>
          <xm:sqref>AE25:AE30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1月"</f>
        <v>2027年 1月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IF(MONTH((DATE(年間!$C$1,1,1)-WEEKDAY(DATE(年間!$C$1,1,1))+1))=1,DAY((DATE(年間!$C$1,1,1)-WEEKDAY(DATE(年間!$C$1,1,1))+1)),"")</f>
        <v/>
      </c>
      <c r="B3" s="9" t="str">
        <f>IF(MONTH((DATE(年間!$C$1,1,1)-WEEKDAY(DATE(年間!$C$1,1,1))+2))=1,DAY((DATE(年間!$C$1,1,1)-WEEKDAY(DATE(年間!$C$1,1,1))+2)),"")</f>
        <v/>
      </c>
      <c r="C3" s="9" t="str">
        <f>IF(MONTH((DATE(年間!$C$1,1,1)-WEEKDAY(DATE(年間!$C$1,1,1))+3))=1,DAY((DATE(年間!$C$1,1,1)-WEEKDAY(DATE(年間!$C$1,1,1))+3)),"")</f>
        <v/>
      </c>
      <c r="D3" s="9" t="str">
        <f>IF(MONTH((DATE(年間!$C$1,1,1)-WEEKDAY(DATE(年間!$C$1,1,1))+4))=1,DAY((DATE(年間!$C$1,1,1)-WEEKDAY(DATE(年間!$C$1,1,1))+4)),"")</f>
        <v/>
      </c>
      <c r="E3" s="9" t="str">
        <f>IF(MONTH((DATE(年間!$C$1,1,1)-WEEKDAY(DATE(年間!$C$1,1,1))+5))=1,DAY((DATE(年間!$C$1,1,1)-WEEKDAY(DATE(年間!$C$1,1,1))+5)),"")</f>
        <v/>
      </c>
      <c r="F3" s="9">
        <f>IF(MONTH((DATE(年間!$C$1,1,1)-WEEKDAY(DATE(年間!$C$1,1,1))+6))=1,DAY((DATE(年間!$C$1,1,1)-WEEKDAY(DATE(年間!$C$1,1,1))+6)),"")</f>
        <v>1</v>
      </c>
      <c r="G3" s="9">
        <f>IF(MONTH((DATE(年間!$C$1,1,1)-WEEKDAY(DATE(年間!$C$1,1,1))+7))=1,DAY((DATE(年間!$C$1,1,1)-WEEKDAY(DATE(年間!$C$1,1,1))+7)),"")</f>
        <v>2</v>
      </c>
    </row>
    <row r="4" spans="1:7" ht="50" customHeight="1" x14ac:dyDescent="0.2">
      <c r="A4" s="10" t="str">
        <f>IF(MONTH((DATE(年間!$C$1,1,1)-WEEKDAY(DATE(年間!$C$1,1,1))+1))=1,IFERROR(VLOOKUP((DATE(年間!$C$1,1,1)-WEEKDAY(DATE(年間!$C$1,1,1))+1),祝日!$A$2:$B$75,2,FALSE),""),"")</f>
        <v/>
      </c>
      <c r="B4" s="10" t="str">
        <f>IF(MONTH((DATE(年間!$C$1,1,1)-WEEKDAY(DATE(年間!$C$1,1,1))+2))=1,IFERROR(VLOOKUP((DATE(年間!$C$1,1,1)-WEEKDAY(DATE(年間!$C$1,1,1))+2),祝日!$A$2:$B$75,2,FALSE),""),"")</f>
        <v/>
      </c>
      <c r="C4" s="10" t="str">
        <f>IF(MONTH((DATE(年間!$C$1,1,1)-WEEKDAY(DATE(年間!$C$1,1,1))+3))=1,IFERROR(VLOOKUP((DATE(年間!$C$1,1,1)-WEEKDAY(DATE(年間!$C$1,1,1))+3),祝日!$A$2:$B$75,2,FALSE),""),"")</f>
        <v/>
      </c>
      <c r="D4" s="10" t="str">
        <f>IF(MONTH((DATE(年間!$C$1,1,1)-WEEKDAY(DATE(年間!$C$1,1,1))+4))=1,IFERROR(VLOOKUP((DATE(年間!$C$1,1,1)-WEEKDAY(DATE(年間!$C$1,1,1))+4),祝日!$A$2:$B$75,2,FALSE),""),"")</f>
        <v/>
      </c>
      <c r="E4" s="10" t="str">
        <f>IF(MONTH((DATE(年間!$C$1,1,1)-WEEKDAY(DATE(年間!$C$1,1,1))+5))=1,IFERROR(VLOOKUP((DATE(年間!$C$1,1,1)-WEEKDAY(DATE(年間!$C$1,1,1))+5),祝日!$A$2:$B$75,2,FALSE),""),"")</f>
        <v/>
      </c>
      <c r="F4" s="10" t="str">
        <f>IF(MONTH((DATE(年間!$C$1,1,1)-WEEKDAY(DATE(年間!$C$1,1,1))+6))=1,IFERROR(VLOOKUP((DATE(年間!$C$1,1,1)-WEEKDAY(DATE(年間!$C$1,1,1))+6),祝日!$A$2:$B$75,2,FALSE),""),"")</f>
        <v>元日</v>
      </c>
      <c r="G4" s="10" t="str">
        <f>IF(MONTH((DATE(年間!$C$1,1,1)-WEEKDAY(DATE(年間!$C$1,1,1))+7))=1,IFERROR(VLOOKUP((DATE(年間!$C$1,1,1)-WEEKDAY(DATE(年間!$C$1,1,1))+7),祝日!$A$2:$B$75,2,FALSE),""),"")</f>
        <v/>
      </c>
    </row>
    <row r="5" spans="1:7" ht="26" customHeight="1" x14ac:dyDescent="0.2">
      <c r="A5" s="9">
        <f>IF(MONTH((DATE(年間!$C$1,1,1)-WEEKDAY(DATE(年間!$C$1,1,1))+8))=1,DAY((DATE(年間!$C$1,1,1)-WEEKDAY(DATE(年間!$C$1,1,1))+8)),"")</f>
        <v>3</v>
      </c>
      <c r="B5" s="9">
        <f>IF(MONTH((DATE(年間!$C$1,1,1)-WEEKDAY(DATE(年間!$C$1,1,1))+9))=1,DAY((DATE(年間!$C$1,1,1)-WEEKDAY(DATE(年間!$C$1,1,1))+9)),"")</f>
        <v>4</v>
      </c>
      <c r="C5" s="9">
        <f>IF(MONTH((DATE(年間!$C$1,1,1)-WEEKDAY(DATE(年間!$C$1,1,1))+10))=1,DAY((DATE(年間!$C$1,1,1)-WEEKDAY(DATE(年間!$C$1,1,1))+10)),"")</f>
        <v>5</v>
      </c>
      <c r="D5" s="9">
        <f>IF(MONTH((DATE(年間!$C$1,1,1)-WEEKDAY(DATE(年間!$C$1,1,1))+11))=1,DAY((DATE(年間!$C$1,1,1)-WEEKDAY(DATE(年間!$C$1,1,1))+11)),"")</f>
        <v>6</v>
      </c>
      <c r="E5" s="9">
        <f>IF(MONTH((DATE(年間!$C$1,1,1)-WEEKDAY(DATE(年間!$C$1,1,1))+12))=1,DAY((DATE(年間!$C$1,1,1)-WEEKDAY(DATE(年間!$C$1,1,1))+12)),"")</f>
        <v>7</v>
      </c>
      <c r="F5" s="9">
        <f>IF(MONTH((DATE(年間!$C$1,1,1)-WEEKDAY(DATE(年間!$C$1,1,1))+13))=1,DAY((DATE(年間!$C$1,1,1)-WEEKDAY(DATE(年間!$C$1,1,1))+13)),"")</f>
        <v>8</v>
      </c>
      <c r="G5" s="9">
        <f>IF(MONTH((DATE(年間!$C$1,1,1)-WEEKDAY(DATE(年間!$C$1,1,1))+14))=1,DAY((DATE(年間!$C$1,1,1)-WEEKDAY(DATE(年間!$C$1,1,1))+14)),"")</f>
        <v>9</v>
      </c>
    </row>
    <row r="6" spans="1:7" ht="50" customHeight="1" x14ac:dyDescent="0.2">
      <c r="A6" s="10" t="str">
        <f>IF(MONTH((DATE(年間!$C$1,1,1)-WEEKDAY(DATE(年間!$C$1,1,1))+8))=1,IFERROR(VLOOKUP((DATE(年間!$C$1,1,1)-WEEKDAY(DATE(年間!$C$1,1,1))+8),祝日!$A$2:$B$75,2,FALSE),""),"")</f>
        <v/>
      </c>
      <c r="B6" s="10" t="str">
        <f>IF(MONTH((DATE(年間!$C$1,1,1)-WEEKDAY(DATE(年間!$C$1,1,1))+9))=1,IFERROR(VLOOKUP((DATE(年間!$C$1,1,1)-WEEKDAY(DATE(年間!$C$1,1,1))+9),祝日!$A$2:$B$75,2,FALSE),""),"")</f>
        <v/>
      </c>
      <c r="C6" s="10" t="str">
        <f>IF(MONTH((DATE(年間!$C$1,1,1)-WEEKDAY(DATE(年間!$C$1,1,1))+10))=1,IFERROR(VLOOKUP((DATE(年間!$C$1,1,1)-WEEKDAY(DATE(年間!$C$1,1,1))+10),祝日!$A$2:$B$75,2,FALSE),""),"")</f>
        <v/>
      </c>
      <c r="D6" s="10" t="str">
        <f>IF(MONTH((DATE(年間!$C$1,1,1)-WEEKDAY(DATE(年間!$C$1,1,1))+11))=1,IFERROR(VLOOKUP((DATE(年間!$C$1,1,1)-WEEKDAY(DATE(年間!$C$1,1,1))+11),祝日!$A$2:$B$75,2,FALSE),""),"")</f>
        <v/>
      </c>
      <c r="E6" s="10" t="str">
        <f>IF(MONTH((DATE(年間!$C$1,1,1)-WEEKDAY(DATE(年間!$C$1,1,1))+12))=1,IFERROR(VLOOKUP((DATE(年間!$C$1,1,1)-WEEKDAY(DATE(年間!$C$1,1,1))+12),祝日!$A$2:$B$75,2,FALSE),""),"")</f>
        <v/>
      </c>
      <c r="F6" s="10" t="str">
        <f>IF(MONTH((DATE(年間!$C$1,1,1)-WEEKDAY(DATE(年間!$C$1,1,1))+13))=1,IFERROR(VLOOKUP((DATE(年間!$C$1,1,1)-WEEKDAY(DATE(年間!$C$1,1,1))+13),祝日!$A$2:$B$75,2,FALSE),""),"")</f>
        <v/>
      </c>
      <c r="G6" s="10" t="str">
        <f>IF(MONTH((DATE(年間!$C$1,1,1)-WEEKDAY(DATE(年間!$C$1,1,1))+14))=1,IFERROR(VLOOKUP((DATE(年間!$C$1,1,1)-WEEKDAY(DATE(年間!$C$1,1,1))+14),祝日!$A$2:$B$75,2,FALSE),""),"")</f>
        <v/>
      </c>
    </row>
    <row r="7" spans="1:7" ht="26" customHeight="1" x14ac:dyDescent="0.2">
      <c r="A7" s="9">
        <f>IF(MONTH((DATE(年間!$C$1,1,1)-WEEKDAY(DATE(年間!$C$1,1,1))+15))=1,DAY((DATE(年間!$C$1,1,1)-WEEKDAY(DATE(年間!$C$1,1,1))+15)),"")</f>
        <v>10</v>
      </c>
      <c r="B7" s="9">
        <f>IF(MONTH((DATE(年間!$C$1,1,1)-WEEKDAY(DATE(年間!$C$1,1,1))+16))=1,DAY((DATE(年間!$C$1,1,1)-WEEKDAY(DATE(年間!$C$1,1,1))+16)),"")</f>
        <v>11</v>
      </c>
      <c r="C7" s="9">
        <f>IF(MONTH((DATE(年間!$C$1,1,1)-WEEKDAY(DATE(年間!$C$1,1,1))+17))=1,DAY((DATE(年間!$C$1,1,1)-WEEKDAY(DATE(年間!$C$1,1,1))+17)),"")</f>
        <v>12</v>
      </c>
      <c r="D7" s="9">
        <f>IF(MONTH((DATE(年間!$C$1,1,1)-WEEKDAY(DATE(年間!$C$1,1,1))+18))=1,DAY((DATE(年間!$C$1,1,1)-WEEKDAY(DATE(年間!$C$1,1,1))+18)),"")</f>
        <v>13</v>
      </c>
      <c r="E7" s="9">
        <f>IF(MONTH((DATE(年間!$C$1,1,1)-WEEKDAY(DATE(年間!$C$1,1,1))+19))=1,DAY((DATE(年間!$C$1,1,1)-WEEKDAY(DATE(年間!$C$1,1,1))+19)),"")</f>
        <v>14</v>
      </c>
      <c r="F7" s="9">
        <f>IF(MONTH((DATE(年間!$C$1,1,1)-WEEKDAY(DATE(年間!$C$1,1,1))+20))=1,DAY((DATE(年間!$C$1,1,1)-WEEKDAY(DATE(年間!$C$1,1,1))+20)),"")</f>
        <v>15</v>
      </c>
      <c r="G7" s="9">
        <f>IF(MONTH((DATE(年間!$C$1,1,1)-WEEKDAY(DATE(年間!$C$1,1,1))+21))=1,DAY((DATE(年間!$C$1,1,1)-WEEKDAY(DATE(年間!$C$1,1,1))+21)),"")</f>
        <v>16</v>
      </c>
    </row>
    <row r="8" spans="1:7" ht="50" customHeight="1" x14ac:dyDescent="0.2">
      <c r="A8" s="10" t="str">
        <f>IF(MONTH((DATE(年間!$C$1,1,1)-WEEKDAY(DATE(年間!$C$1,1,1))+15))=1,IFERROR(VLOOKUP((DATE(年間!$C$1,1,1)-WEEKDAY(DATE(年間!$C$1,1,1))+15),祝日!$A$2:$B$75,2,FALSE),""),"")</f>
        <v/>
      </c>
      <c r="B8" s="10" t="str">
        <f>IF(MONTH((DATE(年間!$C$1,1,1)-WEEKDAY(DATE(年間!$C$1,1,1))+16))=1,IFERROR(VLOOKUP((DATE(年間!$C$1,1,1)-WEEKDAY(DATE(年間!$C$1,1,1))+16),祝日!$A$2:$B$75,2,FALSE),""),"")</f>
        <v>成人の日</v>
      </c>
      <c r="C8" s="10" t="str">
        <f>IF(MONTH((DATE(年間!$C$1,1,1)-WEEKDAY(DATE(年間!$C$1,1,1))+17))=1,IFERROR(VLOOKUP((DATE(年間!$C$1,1,1)-WEEKDAY(DATE(年間!$C$1,1,1))+17),祝日!$A$2:$B$75,2,FALSE),""),"")</f>
        <v/>
      </c>
      <c r="D8" s="10" t="str">
        <f>IF(MONTH((DATE(年間!$C$1,1,1)-WEEKDAY(DATE(年間!$C$1,1,1))+18))=1,IFERROR(VLOOKUP((DATE(年間!$C$1,1,1)-WEEKDAY(DATE(年間!$C$1,1,1))+18),祝日!$A$2:$B$75,2,FALSE),""),"")</f>
        <v/>
      </c>
      <c r="E8" s="10" t="str">
        <f>IF(MONTH((DATE(年間!$C$1,1,1)-WEEKDAY(DATE(年間!$C$1,1,1))+19))=1,IFERROR(VLOOKUP((DATE(年間!$C$1,1,1)-WEEKDAY(DATE(年間!$C$1,1,1))+19),祝日!$A$2:$B$75,2,FALSE),""),"")</f>
        <v/>
      </c>
      <c r="F8" s="10" t="str">
        <f>IF(MONTH((DATE(年間!$C$1,1,1)-WEEKDAY(DATE(年間!$C$1,1,1))+20))=1,IFERROR(VLOOKUP((DATE(年間!$C$1,1,1)-WEEKDAY(DATE(年間!$C$1,1,1))+20),祝日!$A$2:$B$75,2,FALSE),""),"")</f>
        <v/>
      </c>
      <c r="G8" s="10" t="str">
        <f>IF(MONTH((DATE(年間!$C$1,1,1)-WEEKDAY(DATE(年間!$C$1,1,1))+21))=1,IFERROR(VLOOKUP((DATE(年間!$C$1,1,1)-WEEKDAY(DATE(年間!$C$1,1,1))+21),祝日!$A$2:$B$75,2,FALSE),""),"")</f>
        <v/>
      </c>
    </row>
    <row r="9" spans="1:7" ht="26" customHeight="1" x14ac:dyDescent="0.2">
      <c r="A9" s="9">
        <f>IF(MONTH((DATE(年間!$C$1,1,1)-WEEKDAY(DATE(年間!$C$1,1,1))+22))=1,DAY((DATE(年間!$C$1,1,1)-WEEKDAY(DATE(年間!$C$1,1,1))+22)),"")</f>
        <v>17</v>
      </c>
      <c r="B9" s="9">
        <f>IF(MONTH((DATE(年間!$C$1,1,1)-WEEKDAY(DATE(年間!$C$1,1,1))+23))=1,DAY((DATE(年間!$C$1,1,1)-WEEKDAY(DATE(年間!$C$1,1,1))+23)),"")</f>
        <v>18</v>
      </c>
      <c r="C9" s="9">
        <f>IF(MONTH((DATE(年間!$C$1,1,1)-WEEKDAY(DATE(年間!$C$1,1,1))+24))=1,DAY((DATE(年間!$C$1,1,1)-WEEKDAY(DATE(年間!$C$1,1,1))+24)),"")</f>
        <v>19</v>
      </c>
      <c r="D9" s="9">
        <f>IF(MONTH((DATE(年間!$C$1,1,1)-WEEKDAY(DATE(年間!$C$1,1,1))+25))=1,DAY((DATE(年間!$C$1,1,1)-WEEKDAY(DATE(年間!$C$1,1,1))+25)),"")</f>
        <v>20</v>
      </c>
      <c r="E9" s="9">
        <f>IF(MONTH((DATE(年間!$C$1,1,1)-WEEKDAY(DATE(年間!$C$1,1,1))+26))=1,DAY((DATE(年間!$C$1,1,1)-WEEKDAY(DATE(年間!$C$1,1,1))+26)),"")</f>
        <v>21</v>
      </c>
      <c r="F9" s="9">
        <f>IF(MONTH((DATE(年間!$C$1,1,1)-WEEKDAY(DATE(年間!$C$1,1,1))+27))=1,DAY((DATE(年間!$C$1,1,1)-WEEKDAY(DATE(年間!$C$1,1,1))+27)),"")</f>
        <v>22</v>
      </c>
      <c r="G9" s="9">
        <f>IF(MONTH((DATE(年間!$C$1,1,1)-WEEKDAY(DATE(年間!$C$1,1,1))+28))=1,DAY((DATE(年間!$C$1,1,1)-WEEKDAY(DATE(年間!$C$1,1,1))+28)),"")</f>
        <v>23</v>
      </c>
    </row>
    <row r="10" spans="1:7" ht="50" customHeight="1" x14ac:dyDescent="0.2">
      <c r="A10" s="10" t="str">
        <f>IF(MONTH((DATE(年間!$C$1,1,1)-WEEKDAY(DATE(年間!$C$1,1,1))+22))=1,IFERROR(VLOOKUP((DATE(年間!$C$1,1,1)-WEEKDAY(DATE(年間!$C$1,1,1))+22),祝日!$A$2:$B$75,2,FALSE),""),"")</f>
        <v/>
      </c>
      <c r="B10" s="10" t="str">
        <f>IF(MONTH((DATE(年間!$C$1,1,1)-WEEKDAY(DATE(年間!$C$1,1,1))+23))=1,IFERROR(VLOOKUP((DATE(年間!$C$1,1,1)-WEEKDAY(DATE(年間!$C$1,1,1))+23),祝日!$A$2:$B$75,2,FALSE),""),"")</f>
        <v/>
      </c>
      <c r="C10" s="10" t="str">
        <f>IF(MONTH((DATE(年間!$C$1,1,1)-WEEKDAY(DATE(年間!$C$1,1,1))+24))=1,IFERROR(VLOOKUP((DATE(年間!$C$1,1,1)-WEEKDAY(DATE(年間!$C$1,1,1))+24),祝日!$A$2:$B$75,2,FALSE),""),"")</f>
        <v/>
      </c>
      <c r="D10" s="10" t="str">
        <f>IF(MONTH((DATE(年間!$C$1,1,1)-WEEKDAY(DATE(年間!$C$1,1,1))+25))=1,IFERROR(VLOOKUP((DATE(年間!$C$1,1,1)-WEEKDAY(DATE(年間!$C$1,1,1))+25),祝日!$A$2:$B$75,2,FALSE),""),"")</f>
        <v/>
      </c>
      <c r="E10" s="10" t="str">
        <f>IF(MONTH((DATE(年間!$C$1,1,1)-WEEKDAY(DATE(年間!$C$1,1,1))+26))=1,IFERROR(VLOOKUP((DATE(年間!$C$1,1,1)-WEEKDAY(DATE(年間!$C$1,1,1))+26),祝日!$A$2:$B$75,2,FALSE),""),"")</f>
        <v/>
      </c>
      <c r="F10" s="10" t="str">
        <f>IF(MONTH((DATE(年間!$C$1,1,1)-WEEKDAY(DATE(年間!$C$1,1,1))+27))=1,IFERROR(VLOOKUP((DATE(年間!$C$1,1,1)-WEEKDAY(DATE(年間!$C$1,1,1))+27),祝日!$A$2:$B$75,2,FALSE),""),"")</f>
        <v/>
      </c>
      <c r="G10" s="10" t="str">
        <f>IF(MONTH((DATE(年間!$C$1,1,1)-WEEKDAY(DATE(年間!$C$1,1,1))+28))=1,IFERROR(VLOOKUP((DATE(年間!$C$1,1,1)-WEEKDAY(DATE(年間!$C$1,1,1))+28),祝日!$A$2:$B$75,2,FALSE),""),"")</f>
        <v/>
      </c>
    </row>
    <row r="11" spans="1:7" ht="26" customHeight="1" x14ac:dyDescent="0.2">
      <c r="A11" s="9">
        <f>IF(MONTH((DATE(年間!$C$1,1,1)-WEEKDAY(DATE(年間!$C$1,1,1))+29))=1,DAY((DATE(年間!$C$1,1,1)-WEEKDAY(DATE(年間!$C$1,1,1))+29)),"")</f>
        <v>24</v>
      </c>
      <c r="B11" s="9">
        <f>IF(MONTH((DATE(年間!$C$1,1,1)-WEEKDAY(DATE(年間!$C$1,1,1))+30))=1,DAY((DATE(年間!$C$1,1,1)-WEEKDAY(DATE(年間!$C$1,1,1))+30)),"")</f>
        <v>25</v>
      </c>
      <c r="C11" s="9">
        <f>IF(MONTH((DATE(年間!$C$1,1,1)-WEEKDAY(DATE(年間!$C$1,1,1))+31))=1,DAY((DATE(年間!$C$1,1,1)-WEEKDAY(DATE(年間!$C$1,1,1))+31)),"")</f>
        <v>26</v>
      </c>
      <c r="D11" s="9">
        <f>IF(MONTH((DATE(年間!$C$1,1,1)-WEEKDAY(DATE(年間!$C$1,1,1))+32))=1,DAY((DATE(年間!$C$1,1,1)-WEEKDAY(DATE(年間!$C$1,1,1))+32)),"")</f>
        <v>27</v>
      </c>
      <c r="E11" s="9">
        <f>IF(MONTH((DATE(年間!$C$1,1,1)-WEEKDAY(DATE(年間!$C$1,1,1))+33))=1,DAY((DATE(年間!$C$1,1,1)-WEEKDAY(DATE(年間!$C$1,1,1))+33)),"")</f>
        <v>28</v>
      </c>
      <c r="F11" s="9">
        <f>IF(MONTH((DATE(年間!$C$1,1,1)-WEEKDAY(DATE(年間!$C$1,1,1))+34))=1,DAY((DATE(年間!$C$1,1,1)-WEEKDAY(DATE(年間!$C$1,1,1))+34)),"")</f>
        <v>29</v>
      </c>
      <c r="G11" s="9">
        <f>IF(MONTH((DATE(年間!$C$1,1,1)-WEEKDAY(DATE(年間!$C$1,1,1))+35))=1,DAY((DATE(年間!$C$1,1,1)-WEEKDAY(DATE(年間!$C$1,1,1))+35)),"")</f>
        <v>30</v>
      </c>
    </row>
    <row r="12" spans="1:7" ht="50" customHeight="1" x14ac:dyDescent="0.2">
      <c r="A12" s="10" t="str">
        <f>IF(MONTH((DATE(年間!$C$1,1,1)-WEEKDAY(DATE(年間!$C$1,1,1))+29))=1,IFERROR(VLOOKUP((DATE(年間!$C$1,1,1)-WEEKDAY(DATE(年間!$C$1,1,1))+29),祝日!$A$2:$B$75,2,FALSE),""),"")</f>
        <v/>
      </c>
      <c r="B12" s="10" t="str">
        <f>IF(MONTH((DATE(年間!$C$1,1,1)-WEEKDAY(DATE(年間!$C$1,1,1))+30))=1,IFERROR(VLOOKUP((DATE(年間!$C$1,1,1)-WEEKDAY(DATE(年間!$C$1,1,1))+30),祝日!$A$2:$B$75,2,FALSE),""),"")</f>
        <v/>
      </c>
      <c r="C12" s="10" t="str">
        <f>IF(MONTH((DATE(年間!$C$1,1,1)-WEEKDAY(DATE(年間!$C$1,1,1))+31))=1,IFERROR(VLOOKUP((DATE(年間!$C$1,1,1)-WEEKDAY(DATE(年間!$C$1,1,1))+31),祝日!$A$2:$B$75,2,FALSE),""),"")</f>
        <v/>
      </c>
      <c r="D12" s="10" t="str">
        <f>IF(MONTH((DATE(年間!$C$1,1,1)-WEEKDAY(DATE(年間!$C$1,1,1))+32))=1,IFERROR(VLOOKUP((DATE(年間!$C$1,1,1)-WEEKDAY(DATE(年間!$C$1,1,1))+32),祝日!$A$2:$B$75,2,FALSE),""),"")</f>
        <v/>
      </c>
      <c r="E12" s="10" t="str">
        <f>IF(MONTH((DATE(年間!$C$1,1,1)-WEEKDAY(DATE(年間!$C$1,1,1))+33))=1,IFERROR(VLOOKUP((DATE(年間!$C$1,1,1)-WEEKDAY(DATE(年間!$C$1,1,1))+33),祝日!$A$2:$B$75,2,FALSE),""),"")</f>
        <v/>
      </c>
      <c r="F12" s="10" t="str">
        <f>IF(MONTH((DATE(年間!$C$1,1,1)-WEEKDAY(DATE(年間!$C$1,1,1))+34))=1,IFERROR(VLOOKUP((DATE(年間!$C$1,1,1)-WEEKDAY(DATE(年間!$C$1,1,1))+34),祝日!$A$2:$B$75,2,FALSE),""),"")</f>
        <v/>
      </c>
      <c r="G12" s="10" t="str">
        <f>IF(MONTH((DATE(年間!$C$1,1,1)-WEEKDAY(DATE(年間!$C$1,1,1))+35))=1,IFERROR(VLOOKUP((DATE(年間!$C$1,1,1)-WEEKDAY(DATE(年間!$C$1,1,1))+35),祝日!$A$2:$B$75,2,FALSE),""),"")</f>
        <v/>
      </c>
    </row>
    <row r="13" spans="1:7" ht="26" customHeight="1" x14ac:dyDescent="0.2">
      <c r="A13" s="9">
        <f>IF(MONTH((DATE(年間!$C$1,1,1)-WEEKDAY(DATE(年間!$C$1,1,1))+36))=1,DAY((DATE(年間!$C$1,1,1)-WEEKDAY(DATE(年間!$C$1,1,1))+36)),"")</f>
        <v>31</v>
      </c>
      <c r="B13" s="9" t="str">
        <f>IF(MONTH((DATE(年間!$C$1,1,1)-WEEKDAY(DATE(年間!$C$1,1,1))+37))=1,DAY((DATE(年間!$C$1,1,1)-WEEKDAY(DATE(年間!$C$1,1,1))+37)),"")</f>
        <v/>
      </c>
      <c r="C13" s="9" t="str">
        <f>IF(MONTH((DATE(年間!$C$1,1,1)-WEEKDAY(DATE(年間!$C$1,1,1))+38))=1,DAY((DATE(年間!$C$1,1,1)-WEEKDAY(DATE(年間!$C$1,1,1))+38)),"")</f>
        <v/>
      </c>
      <c r="D13" s="9" t="str">
        <f>IF(MONTH((DATE(年間!$C$1,1,1)-WEEKDAY(DATE(年間!$C$1,1,1))+39))=1,DAY((DATE(年間!$C$1,1,1)-WEEKDAY(DATE(年間!$C$1,1,1))+39)),"")</f>
        <v/>
      </c>
      <c r="E13" s="9" t="str">
        <f>IF(MONTH((DATE(年間!$C$1,1,1)-WEEKDAY(DATE(年間!$C$1,1,1))+40))=1,DAY((DATE(年間!$C$1,1,1)-WEEKDAY(DATE(年間!$C$1,1,1))+40)),"")</f>
        <v/>
      </c>
      <c r="F13" s="9" t="str">
        <f>IF(MONTH((DATE(年間!$C$1,1,1)-WEEKDAY(DATE(年間!$C$1,1,1))+41))=1,DAY((DATE(年間!$C$1,1,1)-WEEKDAY(DATE(年間!$C$1,1,1))+41)),"")</f>
        <v/>
      </c>
      <c r="G13" s="9" t="str">
        <f>IF(MONTH((DATE(年間!$C$1,1,1)-WEEKDAY(DATE(年間!$C$1,1,1))+42))=1,DAY((DATE(年間!$C$1,1,1)-WEEKDAY(DATE(年間!$C$1,1,1))+42)),"")</f>
        <v/>
      </c>
    </row>
    <row r="14" spans="1:7" ht="50" customHeight="1" x14ac:dyDescent="0.2">
      <c r="A14" s="10" t="str">
        <f>IF(MONTH((DATE(年間!$C$1,1,1)-WEEKDAY(DATE(年間!$C$1,1,1))+36))=1,IFERROR(VLOOKUP((DATE(年間!$C$1,1,1)-WEEKDAY(DATE(年間!$C$1,1,1))+36),祝日!$A$2:$B$75,2,FALSE),""),"")</f>
        <v/>
      </c>
      <c r="B14" s="10" t="str">
        <f>IF(MONTH((DATE(年間!$C$1,1,1)-WEEKDAY(DATE(年間!$C$1,1,1))+37))=1,IFERROR(VLOOKUP((DATE(年間!$C$1,1,1)-WEEKDAY(DATE(年間!$C$1,1,1))+37),祝日!$A$2:$B$75,2,FALSE),""),"")</f>
        <v/>
      </c>
      <c r="C14" s="10" t="str">
        <f>IF(MONTH((DATE(年間!$C$1,1,1)-WEEKDAY(DATE(年間!$C$1,1,1))+38))=1,IFERROR(VLOOKUP((DATE(年間!$C$1,1,1)-WEEKDAY(DATE(年間!$C$1,1,1))+38),祝日!$A$2:$B$75,2,FALSE),""),"")</f>
        <v/>
      </c>
      <c r="D14" s="10" t="str">
        <f>IF(MONTH((DATE(年間!$C$1,1,1)-WEEKDAY(DATE(年間!$C$1,1,1))+39))=1,IFERROR(VLOOKUP((DATE(年間!$C$1,1,1)-WEEKDAY(DATE(年間!$C$1,1,1))+39),祝日!$A$2:$B$75,2,FALSE),""),"")</f>
        <v/>
      </c>
      <c r="E14" s="10" t="str">
        <f>IF(MONTH((DATE(年間!$C$1,1,1)-WEEKDAY(DATE(年間!$C$1,1,1))+40))=1,IFERROR(VLOOKUP((DATE(年間!$C$1,1,1)-WEEKDAY(DATE(年間!$C$1,1,1))+40),祝日!$A$2:$B$75,2,FALSE),""),"")</f>
        <v/>
      </c>
      <c r="F14" s="10" t="str">
        <f>IF(MONTH((DATE(年間!$C$1,1,1)-WEEKDAY(DATE(年間!$C$1,1,1))+41))=1,IFERROR(VLOOKUP((DATE(年間!$C$1,1,1)-WEEKDAY(DATE(年間!$C$1,1,1))+41),祝日!$A$2:$B$75,2,FALSE),""),"")</f>
        <v/>
      </c>
      <c r="G14" s="10" t="str">
        <f>IF(MONTH((DATE(年間!$C$1,1,1)-WEEKDAY(DATE(年間!$C$1,1,1))+42))=1,IFERROR(VLOOKUP((DATE(年間!$C$1,1,1)-WEEKDAY(DATE(年間!$C$1,1,1))+42),祝日!$A$2:$B$75,2,FALSE),""),"")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23" priority="1">
      <formula>AND(A3&lt;&gt;"",OR(COLUMN(A3)=1,A4&lt;&gt;""))</formula>
    </cfRule>
  </conditionalFormatting>
  <conditionalFormatting sqref="G3 G5 G7 G9 G11 G13">
    <cfRule type="expression" dxfId="22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2月"</f>
        <v>2027年 2月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IF(MONTH((DATE(年間!$C$1,2,1)-WEEKDAY(DATE(年間!$C$1,2,1))+1))=2,DAY((DATE(年間!$C$1,2,1)-WEEKDAY(DATE(年間!$C$1,2,1))+1)),"")</f>
        <v/>
      </c>
      <c r="B3" s="9">
        <f>IF(MONTH((DATE(年間!$C$1,2,1)-WEEKDAY(DATE(年間!$C$1,2,1))+2))=2,DAY((DATE(年間!$C$1,2,1)-WEEKDAY(DATE(年間!$C$1,2,1))+2)),"")</f>
        <v>1</v>
      </c>
      <c r="C3" s="9">
        <f>IF(MONTH((DATE(年間!$C$1,2,1)-WEEKDAY(DATE(年間!$C$1,2,1))+3))=2,DAY((DATE(年間!$C$1,2,1)-WEEKDAY(DATE(年間!$C$1,2,1))+3)),"")</f>
        <v>2</v>
      </c>
      <c r="D3" s="9">
        <f>IF(MONTH((DATE(年間!$C$1,2,1)-WEEKDAY(DATE(年間!$C$1,2,1))+4))=2,DAY((DATE(年間!$C$1,2,1)-WEEKDAY(DATE(年間!$C$1,2,1))+4)),"")</f>
        <v>3</v>
      </c>
      <c r="E3" s="9">
        <f>IF(MONTH((DATE(年間!$C$1,2,1)-WEEKDAY(DATE(年間!$C$1,2,1))+5))=2,DAY((DATE(年間!$C$1,2,1)-WEEKDAY(DATE(年間!$C$1,2,1))+5)),"")</f>
        <v>4</v>
      </c>
      <c r="F3" s="9">
        <f>IF(MONTH((DATE(年間!$C$1,2,1)-WEEKDAY(DATE(年間!$C$1,2,1))+6))=2,DAY((DATE(年間!$C$1,2,1)-WEEKDAY(DATE(年間!$C$1,2,1))+6)),"")</f>
        <v>5</v>
      </c>
      <c r="G3" s="9">
        <f>IF(MONTH((DATE(年間!$C$1,2,1)-WEEKDAY(DATE(年間!$C$1,2,1))+7))=2,DAY((DATE(年間!$C$1,2,1)-WEEKDAY(DATE(年間!$C$1,2,1))+7)),"")</f>
        <v>6</v>
      </c>
    </row>
    <row r="4" spans="1:7" ht="50" customHeight="1" x14ac:dyDescent="0.2">
      <c r="A4" s="10" t="str">
        <f>IF(MONTH((DATE(年間!$C$1,2,1)-WEEKDAY(DATE(年間!$C$1,2,1))+1))=2,IFERROR(VLOOKUP((DATE(年間!$C$1,2,1)-WEEKDAY(DATE(年間!$C$1,2,1))+1),祝日!$A$2:$B$75,2,FALSE),""),"")</f>
        <v/>
      </c>
      <c r="B4" s="10" t="str">
        <f>IF(MONTH((DATE(年間!$C$1,2,1)-WEEKDAY(DATE(年間!$C$1,2,1))+2))=2,IFERROR(VLOOKUP((DATE(年間!$C$1,2,1)-WEEKDAY(DATE(年間!$C$1,2,1))+2),祝日!$A$2:$B$75,2,FALSE),""),"")</f>
        <v/>
      </c>
      <c r="C4" s="10" t="str">
        <f>IF(MONTH((DATE(年間!$C$1,2,1)-WEEKDAY(DATE(年間!$C$1,2,1))+3))=2,IFERROR(VLOOKUP((DATE(年間!$C$1,2,1)-WEEKDAY(DATE(年間!$C$1,2,1))+3),祝日!$A$2:$B$75,2,FALSE),""),"")</f>
        <v/>
      </c>
      <c r="D4" s="10" t="str">
        <f>IF(MONTH((DATE(年間!$C$1,2,1)-WEEKDAY(DATE(年間!$C$1,2,1))+4))=2,IFERROR(VLOOKUP((DATE(年間!$C$1,2,1)-WEEKDAY(DATE(年間!$C$1,2,1))+4),祝日!$A$2:$B$75,2,FALSE),""),"")</f>
        <v/>
      </c>
      <c r="E4" s="10" t="str">
        <f>IF(MONTH((DATE(年間!$C$1,2,1)-WEEKDAY(DATE(年間!$C$1,2,1))+5))=2,IFERROR(VLOOKUP((DATE(年間!$C$1,2,1)-WEEKDAY(DATE(年間!$C$1,2,1))+5),祝日!$A$2:$B$75,2,FALSE),""),"")</f>
        <v/>
      </c>
      <c r="F4" s="10" t="str">
        <f>IF(MONTH((DATE(年間!$C$1,2,1)-WEEKDAY(DATE(年間!$C$1,2,1))+6))=2,IFERROR(VLOOKUP((DATE(年間!$C$1,2,1)-WEEKDAY(DATE(年間!$C$1,2,1))+6),祝日!$A$2:$B$75,2,FALSE),""),"")</f>
        <v/>
      </c>
      <c r="G4" s="10" t="str">
        <f>IF(MONTH((DATE(年間!$C$1,2,1)-WEEKDAY(DATE(年間!$C$1,2,1))+7))=2,IFERROR(VLOOKUP((DATE(年間!$C$1,2,1)-WEEKDAY(DATE(年間!$C$1,2,1))+7),祝日!$A$2:$B$75,2,FALSE),""),"")</f>
        <v/>
      </c>
    </row>
    <row r="5" spans="1:7" ht="26" customHeight="1" x14ac:dyDescent="0.2">
      <c r="A5" s="9">
        <f>IF(MONTH((DATE(年間!$C$1,2,1)-WEEKDAY(DATE(年間!$C$1,2,1))+8))=2,DAY((DATE(年間!$C$1,2,1)-WEEKDAY(DATE(年間!$C$1,2,1))+8)),"")</f>
        <v>7</v>
      </c>
      <c r="B5" s="9">
        <f>IF(MONTH((DATE(年間!$C$1,2,1)-WEEKDAY(DATE(年間!$C$1,2,1))+9))=2,DAY((DATE(年間!$C$1,2,1)-WEEKDAY(DATE(年間!$C$1,2,1))+9)),"")</f>
        <v>8</v>
      </c>
      <c r="C5" s="9">
        <f>IF(MONTH((DATE(年間!$C$1,2,1)-WEEKDAY(DATE(年間!$C$1,2,1))+10))=2,DAY((DATE(年間!$C$1,2,1)-WEEKDAY(DATE(年間!$C$1,2,1))+10)),"")</f>
        <v>9</v>
      </c>
      <c r="D5" s="9">
        <f>IF(MONTH((DATE(年間!$C$1,2,1)-WEEKDAY(DATE(年間!$C$1,2,1))+11))=2,DAY((DATE(年間!$C$1,2,1)-WEEKDAY(DATE(年間!$C$1,2,1))+11)),"")</f>
        <v>10</v>
      </c>
      <c r="E5" s="9">
        <f>IF(MONTH((DATE(年間!$C$1,2,1)-WEEKDAY(DATE(年間!$C$1,2,1))+12))=2,DAY((DATE(年間!$C$1,2,1)-WEEKDAY(DATE(年間!$C$1,2,1))+12)),"")</f>
        <v>11</v>
      </c>
      <c r="F5" s="9">
        <f>IF(MONTH((DATE(年間!$C$1,2,1)-WEEKDAY(DATE(年間!$C$1,2,1))+13))=2,DAY((DATE(年間!$C$1,2,1)-WEEKDAY(DATE(年間!$C$1,2,1))+13)),"")</f>
        <v>12</v>
      </c>
      <c r="G5" s="9">
        <f>IF(MONTH((DATE(年間!$C$1,2,1)-WEEKDAY(DATE(年間!$C$1,2,1))+14))=2,DAY((DATE(年間!$C$1,2,1)-WEEKDAY(DATE(年間!$C$1,2,1))+14)),"")</f>
        <v>13</v>
      </c>
    </row>
    <row r="6" spans="1:7" ht="50" customHeight="1" x14ac:dyDescent="0.2">
      <c r="A6" s="10" t="str">
        <f>IF(MONTH((DATE(年間!$C$1,2,1)-WEEKDAY(DATE(年間!$C$1,2,1))+8))=2,IFERROR(VLOOKUP((DATE(年間!$C$1,2,1)-WEEKDAY(DATE(年間!$C$1,2,1))+8),祝日!$A$2:$B$75,2,FALSE),""),"")</f>
        <v/>
      </c>
      <c r="B6" s="10" t="str">
        <f>IF(MONTH((DATE(年間!$C$1,2,1)-WEEKDAY(DATE(年間!$C$1,2,1))+9))=2,IFERROR(VLOOKUP((DATE(年間!$C$1,2,1)-WEEKDAY(DATE(年間!$C$1,2,1))+9),祝日!$A$2:$B$75,2,FALSE),""),"")</f>
        <v/>
      </c>
      <c r="C6" s="10" t="str">
        <f>IF(MONTH((DATE(年間!$C$1,2,1)-WEEKDAY(DATE(年間!$C$1,2,1))+10))=2,IFERROR(VLOOKUP((DATE(年間!$C$1,2,1)-WEEKDAY(DATE(年間!$C$1,2,1))+10),祝日!$A$2:$B$75,2,FALSE),""),"")</f>
        <v/>
      </c>
      <c r="D6" s="10" t="str">
        <f>IF(MONTH((DATE(年間!$C$1,2,1)-WEEKDAY(DATE(年間!$C$1,2,1))+11))=2,IFERROR(VLOOKUP((DATE(年間!$C$1,2,1)-WEEKDAY(DATE(年間!$C$1,2,1))+11),祝日!$A$2:$B$75,2,FALSE),""),"")</f>
        <v/>
      </c>
      <c r="E6" s="10" t="str">
        <f>IF(MONTH((DATE(年間!$C$1,2,1)-WEEKDAY(DATE(年間!$C$1,2,1))+12))=2,IFERROR(VLOOKUP((DATE(年間!$C$1,2,1)-WEEKDAY(DATE(年間!$C$1,2,1))+12),祝日!$A$2:$B$75,2,FALSE),""),"")</f>
        <v>建国記念の日</v>
      </c>
      <c r="F6" s="10" t="str">
        <f>IF(MONTH((DATE(年間!$C$1,2,1)-WEEKDAY(DATE(年間!$C$1,2,1))+13))=2,IFERROR(VLOOKUP((DATE(年間!$C$1,2,1)-WEEKDAY(DATE(年間!$C$1,2,1))+13),祝日!$A$2:$B$75,2,FALSE),""),"")</f>
        <v/>
      </c>
      <c r="G6" s="10" t="str">
        <f>IF(MONTH((DATE(年間!$C$1,2,1)-WEEKDAY(DATE(年間!$C$1,2,1))+14))=2,IFERROR(VLOOKUP((DATE(年間!$C$1,2,1)-WEEKDAY(DATE(年間!$C$1,2,1))+14),祝日!$A$2:$B$75,2,FALSE),""),"")</f>
        <v/>
      </c>
    </row>
    <row r="7" spans="1:7" ht="26" customHeight="1" x14ac:dyDescent="0.2">
      <c r="A7" s="9">
        <f>IF(MONTH((DATE(年間!$C$1,2,1)-WEEKDAY(DATE(年間!$C$1,2,1))+15))=2,DAY((DATE(年間!$C$1,2,1)-WEEKDAY(DATE(年間!$C$1,2,1))+15)),"")</f>
        <v>14</v>
      </c>
      <c r="B7" s="9">
        <f>IF(MONTH((DATE(年間!$C$1,2,1)-WEEKDAY(DATE(年間!$C$1,2,1))+16))=2,DAY((DATE(年間!$C$1,2,1)-WEEKDAY(DATE(年間!$C$1,2,1))+16)),"")</f>
        <v>15</v>
      </c>
      <c r="C7" s="9">
        <f>IF(MONTH((DATE(年間!$C$1,2,1)-WEEKDAY(DATE(年間!$C$1,2,1))+17))=2,DAY((DATE(年間!$C$1,2,1)-WEEKDAY(DATE(年間!$C$1,2,1))+17)),"")</f>
        <v>16</v>
      </c>
      <c r="D7" s="9">
        <f>IF(MONTH((DATE(年間!$C$1,2,1)-WEEKDAY(DATE(年間!$C$1,2,1))+18))=2,DAY((DATE(年間!$C$1,2,1)-WEEKDAY(DATE(年間!$C$1,2,1))+18)),"")</f>
        <v>17</v>
      </c>
      <c r="E7" s="9">
        <f>IF(MONTH((DATE(年間!$C$1,2,1)-WEEKDAY(DATE(年間!$C$1,2,1))+19))=2,DAY((DATE(年間!$C$1,2,1)-WEEKDAY(DATE(年間!$C$1,2,1))+19)),"")</f>
        <v>18</v>
      </c>
      <c r="F7" s="9">
        <f>IF(MONTH((DATE(年間!$C$1,2,1)-WEEKDAY(DATE(年間!$C$1,2,1))+20))=2,DAY((DATE(年間!$C$1,2,1)-WEEKDAY(DATE(年間!$C$1,2,1))+20)),"")</f>
        <v>19</v>
      </c>
      <c r="G7" s="9">
        <f>IF(MONTH((DATE(年間!$C$1,2,1)-WEEKDAY(DATE(年間!$C$1,2,1))+21))=2,DAY((DATE(年間!$C$1,2,1)-WEEKDAY(DATE(年間!$C$1,2,1))+21)),"")</f>
        <v>20</v>
      </c>
    </row>
    <row r="8" spans="1:7" ht="50" customHeight="1" x14ac:dyDescent="0.2">
      <c r="A8" s="10" t="str">
        <f>IF(MONTH((DATE(年間!$C$1,2,1)-WEEKDAY(DATE(年間!$C$1,2,1))+15))=2,IFERROR(VLOOKUP((DATE(年間!$C$1,2,1)-WEEKDAY(DATE(年間!$C$1,2,1))+15),祝日!$A$2:$B$75,2,FALSE),""),"")</f>
        <v/>
      </c>
      <c r="B8" s="10" t="str">
        <f>IF(MONTH((DATE(年間!$C$1,2,1)-WEEKDAY(DATE(年間!$C$1,2,1))+16))=2,IFERROR(VLOOKUP((DATE(年間!$C$1,2,1)-WEEKDAY(DATE(年間!$C$1,2,1))+16),祝日!$A$2:$B$75,2,FALSE),""),"")</f>
        <v/>
      </c>
      <c r="C8" s="10" t="str">
        <f>IF(MONTH((DATE(年間!$C$1,2,1)-WEEKDAY(DATE(年間!$C$1,2,1))+17))=2,IFERROR(VLOOKUP((DATE(年間!$C$1,2,1)-WEEKDAY(DATE(年間!$C$1,2,1))+17),祝日!$A$2:$B$75,2,FALSE),""),"")</f>
        <v/>
      </c>
      <c r="D8" s="10" t="str">
        <f>IF(MONTH((DATE(年間!$C$1,2,1)-WEEKDAY(DATE(年間!$C$1,2,1))+18))=2,IFERROR(VLOOKUP((DATE(年間!$C$1,2,1)-WEEKDAY(DATE(年間!$C$1,2,1))+18),祝日!$A$2:$B$75,2,FALSE),""),"")</f>
        <v/>
      </c>
      <c r="E8" s="10" t="str">
        <f>IF(MONTH((DATE(年間!$C$1,2,1)-WEEKDAY(DATE(年間!$C$1,2,1))+19))=2,IFERROR(VLOOKUP((DATE(年間!$C$1,2,1)-WEEKDAY(DATE(年間!$C$1,2,1))+19),祝日!$A$2:$B$75,2,FALSE),""),"")</f>
        <v/>
      </c>
      <c r="F8" s="10" t="str">
        <f>IF(MONTH((DATE(年間!$C$1,2,1)-WEEKDAY(DATE(年間!$C$1,2,1))+20))=2,IFERROR(VLOOKUP((DATE(年間!$C$1,2,1)-WEEKDAY(DATE(年間!$C$1,2,1))+20),祝日!$A$2:$B$75,2,FALSE),""),"")</f>
        <v/>
      </c>
      <c r="G8" s="10" t="str">
        <f>IF(MONTH((DATE(年間!$C$1,2,1)-WEEKDAY(DATE(年間!$C$1,2,1))+21))=2,IFERROR(VLOOKUP((DATE(年間!$C$1,2,1)-WEEKDAY(DATE(年間!$C$1,2,1))+21),祝日!$A$2:$B$75,2,FALSE),""),"")</f>
        <v/>
      </c>
    </row>
    <row r="9" spans="1:7" ht="26" customHeight="1" x14ac:dyDescent="0.2">
      <c r="A9" s="9">
        <f>IF(MONTH((DATE(年間!$C$1,2,1)-WEEKDAY(DATE(年間!$C$1,2,1))+22))=2,DAY((DATE(年間!$C$1,2,1)-WEEKDAY(DATE(年間!$C$1,2,1))+22)),"")</f>
        <v>21</v>
      </c>
      <c r="B9" s="9">
        <f>IF(MONTH((DATE(年間!$C$1,2,1)-WEEKDAY(DATE(年間!$C$1,2,1))+23))=2,DAY((DATE(年間!$C$1,2,1)-WEEKDAY(DATE(年間!$C$1,2,1))+23)),"")</f>
        <v>22</v>
      </c>
      <c r="C9" s="9">
        <f>IF(MONTH((DATE(年間!$C$1,2,1)-WEEKDAY(DATE(年間!$C$1,2,1))+24))=2,DAY((DATE(年間!$C$1,2,1)-WEEKDAY(DATE(年間!$C$1,2,1))+24)),"")</f>
        <v>23</v>
      </c>
      <c r="D9" s="9">
        <f>IF(MONTH((DATE(年間!$C$1,2,1)-WEEKDAY(DATE(年間!$C$1,2,1))+25))=2,DAY((DATE(年間!$C$1,2,1)-WEEKDAY(DATE(年間!$C$1,2,1))+25)),"")</f>
        <v>24</v>
      </c>
      <c r="E9" s="9">
        <f>IF(MONTH((DATE(年間!$C$1,2,1)-WEEKDAY(DATE(年間!$C$1,2,1))+26))=2,DAY((DATE(年間!$C$1,2,1)-WEEKDAY(DATE(年間!$C$1,2,1))+26)),"")</f>
        <v>25</v>
      </c>
      <c r="F9" s="9">
        <f>IF(MONTH((DATE(年間!$C$1,2,1)-WEEKDAY(DATE(年間!$C$1,2,1))+27))=2,DAY((DATE(年間!$C$1,2,1)-WEEKDAY(DATE(年間!$C$1,2,1))+27)),"")</f>
        <v>26</v>
      </c>
      <c r="G9" s="9">
        <f>IF(MONTH((DATE(年間!$C$1,2,1)-WEEKDAY(DATE(年間!$C$1,2,1))+28))=2,DAY((DATE(年間!$C$1,2,1)-WEEKDAY(DATE(年間!$C$1,2,1))+28)),"")</f>
        <v>27</v>
      </c>
    </row>
    <row r="10" spans="1:7" ht="50" customHeight="1" x14ac:dyDescent="0.2">
      <c r="A10" s="10" t="str">
        <f>IF(MONTH((DATE(年間!$C$1,2,1)-WEEKDAY(DATE(年間!$C$1,2,1))+22))=2,IFERROR(VLOOKUP((DATE(年間!$C$1,2,1)-WEEKDAY(DATE(年間!$C$1,2,1))+22),祝日!$A$2:$B$75,2,FALSE),""),"")</f>
        <v/>
      </c>
      <c r="B10" s="10" t="str">
        <f>IF(MONTH((DATE(年間!$C$1,2,1)-WEEKDAY(DATE(年間!$C$1,2,1))+23))=2,IFERROR(VLOOKUP((DATE(年間!$C$1,2,1)-WEEKDAY(DATE(年間!$C$1,2,1))+23),祝日!$A$2:$B$75,2,FALSE),""),"")</f>
        <v/>
      </c>
      <c r="C10" s="10" t="str">
        <f>IF(MONTH((DATE(年間!$C$1,2,1)-WEEKDAY(DATE(年間!$C$1,2,1))+24))=2,IFERROR(VLOOKUP((DATE(年間!$C$1,2,1)-WEEKDAY(DATE(年間!$C$1,2,1))+24),祝日!$A$2:$B$75,2,FALSE),""),"")</f>
        <v>天皇誕生日</v>
      </c>
      <c r="D10" s="10" t="str">
        <f>IF(MONTH((DATE(年間!$C$1,2,1)-WEEKDAY(DATE(年間!$C$1,2,1))+25))=2,IFERROR(VLOOKUP((DATE(年間!$C$1,2,1)-WEEKDAY(DATE(年間!$C$1,2,1))+25),祝日!$A$2:$B$75,2,FALSE),""),"")</f>
        <v/>
      </c>
      <c r="E10" s="10" t="str">
        <f>IF(MONTH((DATE(年間!$C$1,2,1)-WEEKDAY(DATE(年間!$C$1,2,1))+26))=2,IFERROR(VLOOKUP((DATE(年間!$C$1,2,1)-WEEKDAY(DATE(年間!$C$1,2,1))+26),祝日!$A$2:$B$75,2,FALSE),""),"")</f>
        <v/>
      </c>
      <c r="F10" s="10" t="str">
        <f>IF(MONTH((DATE(年間!$C$1,2,1)-WEEKDAY(DATE(年間!$C$1,2,1))+27))=2,IFERROR(VLOOKUP((DATE(年間!$C$1,2,1)-WEEKDAY(DATE(年間!$C$1,2,1))+27),祝日!$A$2:$B$75,2,FALSE),""),"")</f>
        <v/>
      </c>
      <c r="G10" s="10" t="str">
        <f>IF(MONTH((DATE(年間!$C$1,2,1)-WEEKDAY(DATE(年間!$C$1,2,1))+28))=2,IFERROR(VLOOKUP((DATE(年間!$C$1,2,1)-WEEKDAY(DATE(年間!$C$1,2,1))+28),祝日!$A$2:$B$75,2,FALSE),""),"")</f>
        <v/>
      </c>
    </row>
    <row r="11" spans="1:7" ht="26" customHeight="1" x14ac:dyDescent="0.2">
      <c r="A11" s="9">
        <f>IF(MONTH((DATE(年間!$C$1,2,1)-WEEKDAY(DATE(年間!$C$1,2,1))+29))=2,DAY((DATE(年間!$C$1,2,1)-WEEKDAY(DATE(年間!$C$1,2,1))+29)),"")</f>
        <v>28</v>
      </c>
      <c r="B11" s="9" t="str">
        <f>IF(MONTH((DATE(年間!$C$1,2,1)-WEEKDAY(DATE(年間!$C$1,2,1))+30))=2,DAY((DATE(年間!$C$1,2,1)-WEEKDAY(DATE(年間!$C$1,2,1))+30)),"")</f>
        <v/>
      </c>
      <c r="C11" s="9" t="str">
        <f>IF(MONTH((DATE(年間!$C$1,2,1)-WEEKDAY(DATE(年間!$C$1,2,1))+31))=2,DAY((DATE(年間!$C$1,2,1)-WEEKDAY(DATE(年間!$C$1,2,1))+31)),"")</f>
        <v/>
      </c>
      <c r="D11" s="9" t="str">
        <f>IF(MONTH((DATE(年間!$C$1,2,1)-WEEKDAY(DATE(年間!$C$1,2,1))+32))=2,DAY((DATE(年間!$C$1,2,1)-WEEKDAY(DATE(年間!$C$1,2,1))+32)),"")</f>
        <v/>
      </c>
      <c r="E11" s="9" t="str">
        <f>IF(MONTH((DATE(年間!$C$1,2,1)-WEEKDAY(DATE(年間!$C$1,2,1))+33))=2,DAY((DATE(年間!$C$1,2,1)-WEEKDAY(DATE(年間!$C$1,2,1))+33)),"")</f>
        <v/>
      </c>
      <c r="F11" s="9" t="str">
        <f>IF(MONTH((DATE(年間!$C$1,2,1)-WEEKDAY(DATE(年間!$C$1,2,1))+34))=2,DAY((DATE(年間!$C$1,2,1)-WEEKDAY(DATE(年間!$C$1,2,1))+34)),"")</f>
        <v/>
      </c>
      <c r="G11" s="9" t="str">
        <f>IF(MONTH((DATE(年間!$C$1,2,1)-WEEKDAY(DATE(年間!$C$1,2,1))+35))=2,DAY((DATE(年間!$C$1,2,1)-WEEKDAY(DATE(年間!$C$1,2,1))+35)),"")</f>
        <v/>
      </c>
    </row>
    <row r="12" spans="1:7" ht="50" customHeight="1" x14ac:dyDescent="0.2">
      <c r="A12" s="10" t="str">
        <f>IF(MONTH((DATE(年間!$C$1,2,1)-WEEKDAY(DATE(年間!$C$1,2,1))+29))=2,IFERROR(VLOOKUP((DATE(年間!$C$1,2,1)-WEEKDAY(DATE(年間!$C$1,2,1))+29),祝日!$A$2:$B$75,2,FALSE),""),"")</f>
        <v/>
      </c>
      <c r="B12" s="10" t="str">
        <f>IF(MONTH((DATE(年間!$C$1,2,1)-WEEKDAY(DATE(年間!$C$1,2,1))+30))=2,IFERROR(VLOOKUP((DATE(年間!$C$1,2,1)-WEEKDAY(DATE(年間!$C$1,2,1))+30),祝日!$A$2:$B$75,2,FALSE),""),"")</f>
        <v/>
      </c>
      <c r="C12" s="10" t="str">
        <f>IF(MONTH((DATE(年間!$C$1,2,1)-WEEKDAY(DATE(年間!$C$1,2,1))+31))=2,IFERROR(VLOOKUP((DATE(年間!$C$1,2,1)-WEEKDAY(DATE(年間!$C$1,2,1))+31),祝日!$A$2:$B$75,2,FALSE),""),"")</f>
        <v/>
      </c>
      <c r="D12" s="10" t="str">
        <f>IF(MONTH((DATE(年間!$C$1,2,1)-WEEKDAY(DATE(年間!$C$1,2,1))+32))=2,IFERROR(VLOOKUP((DATE(年間!$C$1,2,1)-WEEKDAY(DATE(年間!$C$1,2,1))+32),祝日!$A$2:$B$75,2,FALSE),""),"")</f>
        <v/>
      </c>
      <c r="E12" s="10" t="str">
        <f>IF(MONTH((DATE(年間!$C$1,2,1)-WEEKDAY(DATE(年間!$C$1,2,1))+33))=2,IFERROR(VLOOKUP((DATE(年間!$C$1,2,1)-WEEKDAY(DATE(年間!$C$1,2,1))+33),祝日!$A$2:$B$75,2,FALSE),""),"")</f>
        <v/>
      </c>
      <c r="F12" s="10" t="str">
        <f>IF(MONTH((DATE(年間!$C$1,2,1)-WEEKDAY(DATE(年間!$C$1,2,1))+34))=2,IFERROR(VLOOKUP((DATE(年間!$C$1,2,1)-WEEKDAY(DATE(年間!$C$1,2,1))+34),祝日!$A$2:$B$75,2,FALSE),""),"")</f>
        <v/>
      </c>
      <c r="G12" s="10" t="str">
        <f>IF(MONTH((DATE(年間!$C$1,2,1)-WEEKDAY(DATE(年間!$C$1,2,1))+35))=2,IFERROR(VLOOKUP((DATE(年間!$C$1,2,1)-WEEKDAY(DATE(年間!$C$1,2,1))+35),祝日!$A$2:$B$75,2,FALSE),""),"")</f>
        <v/>
      </c>
    </row>
    <row r="13" spans="1:7" ht="26" customHeight="1" x14ac:dyDescent="0.2">
      <c r="A13" s="9" t="str">
        <f>IF(MONTH((DATE(年間!$C$1,2,1)-WEEKDAY(DATE(年間!$C$1,2,1))+36))=2,DAY((DATE(年間!$C$1,2,1)-WEEKDAY(DATE(年間!$C$1,2,1))+36)),"")</f>
        <v/>
      </c>
      <c r="B13" s="9" t="str">
        <f>IF(MONTH((DATE(年間!$C$1,2,1)-WEEKDAY(DATE(年間!$C$1,2,1))+37))=2,DAY((DATE(年間!$C$1,2,1)-WEEKDAY(DATE(年間!$C$1,2,1))+37)),"")</f>
        <v/>
      </c>
      <c r="C13" s="9" t="str">
        <f>IF(MONTH((DATE(年間!$C$1,2,1)-WEEKDAY(DATE(年間!$C$1,2,1))+38))=2,DAY((DATE(年間!$C$1,2,1)-WEEKDAY(DATE(年間!$C$1,2,1))+38)),"")</f>
        <v/>
      </c>
      <c r="D13" s="9" t="str">
        <f>IF(MONTH((DATE(年間!$C$1,2,1)-WEEKDAY(DATE(年間!$C$1,2,1))+39))=2,DAY((DATE(年間!$C$1,2,1)-WEEKDAY(DATE(年間!$C$1,2,1))+39)),"")</f>
        <v/>
      </c>
      <c r="E13" s="9" t="str">
        <f>IF(MONTH((DATE(年間!$C$1,2,1)-WEEKDAY(DATE(年間!$C$1,2,1))+40))=2,DAY((DATE(年間!$C$1,2,1)-WEEKDAY(DATE(年間!$C$1,2,1))+40)),"")</f>
        <v/>
      </c>
      <c r="F13" s="9" t="str">
        <f>IF(MONTH((DATE(年間!$C$1,2,1)-WEEKDAY(DATE(年間!$C$1,2,1))+41))=2,DAY((DATE(年間!$C$1,2,1)-WEEKDAY(DATE(年間!$C$1,2,1))+41)),"")</f>
        <v/>
      </c>
      <c r="G13" s="9" t="str">
        <f>IF(MONTH((DATE(年間!$C$1,2,1)-WEEKDAY(DATE(年間!$C$1,2,1))+42))=2,DAY((DATE(年間!$C$1,2,1)-WEEKDAY(DATE(年間!$C$1,2,1))+42)),"")</f>
        <v/>
      </c>
    </row>
    <row r="14" spans="1:7" ht="50" customHeight="1" x14ac:dyDescent="0.2">
      <c r="A14" s="10" t="str">
        <f>IF(MONTH((DATE(年間!$C$1,2,1)-WEEKDAY(DATE(年間!$C$1,2,1))+36))=2,IFERROR(VLOOKUP((DATE(年間!$C$1,2,1)-WEEKDAY(DATE(年間!$C$1,2,1))+36),祝日!$A$2:$B$75,2,FALSE),""),"")</f>
        <v/>
      </c>
      <c r="B14" s="10" t="str">
        <f>IF(MONTH((DATE(年間!$C$1,2,1)-WEEKDAY(DATE(年間!$C$1,2,1))+37))=2,IFERROR(VLOOKUP((DATE(年間!$C$1,2,1)-WEEKDAY(DATE(年間!$C$1,2,1))+37),祝日!$A$2:$B$75,2,FALSE),""),"")</f>
        <v/>
      </c>
      <c r="C14" s="10" t="str">
        <f>IF(MONTH((DATE(年間!$C$1,2,1)-WEEKDAY(DATE(年間!$C$1,2,1))+38))=2,IFERROR(VLOOKUP((DATE(年間!$C$1,2,1)-WEEKDAY(DATE(年間!$C$1,2,1))+38),祝日!$A$2:$B$75,2,FALSE),""),"")</f>
        <v/>
      </c>
      <c r="D14" s="10" t="str">
        <f>IF(MONTH((DATE(年間!$C$1,2,1)-WEEKDAY(DATE(年間!$C$1,2,1))+39))=2,IFERROR(VLOOKUP((DATE(年間!$C$1,2,1)-WEEKDAY(DATE(年間!$C$1,2,1))+39),祝日!$A$2:$B$75,2,FALSE),""),"")</f>
        <v/>
      </c>
      <c r="E14" s="10" t="str">
        <f>IF(MONTH((DATE(年間!$C$1,2,1)-WEEKDAY(DATE(年間!$C$1,2,1))+40))=2,IFERROR(VLOOKUP((DATE(年間!$C$1,2,1)-WEEKDAY(DATE(年間!$C$1,2,1))+40),祝日!$A$2:$B$75,2,FALSE),""),"")</f>
        <v/>
      </c>
      <c r="F14" s="10" t="str">
        <f>IF(MONTH((DATE(年間!$C$1,2,1)-WEEKDAY(DATE(年間!$C$1,2,1))+41))=2,IFERROR(VLOOKUP((DATE(年間!$C$1,2,1)-WEEKDAY(DATE(年間!$C$1,2,1))+41),祝日!$A$2:$B$75,2,FALSE),""),"")</f>
        <v/>
      </c>
      <c r="G14" s="10" t="str">
        <f>IF(MONTH((DATE(年間!$C$1,2,1)-WEEKDAY(DATE(年間!$C$1,2,1))+42))=2,IFERROR(VLOOKUP((DATE(年間!$C$1,2,1)-WEEKDAY(DATE(年間!$C$1,2,1))+42),祝日!$A$2:$B$75,2,FALSE),""),"")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21" priority="1">
      <formula>AND(A3&lt;&gt;"",OR(COLUMN(A3)=1,A4&lt;&gt;""))</formula>
    </cfRule>
  </conditionalFormatting>
  <conditionalFormatting sqref="G3 G5 G7 G9 G11 G13">
    <cfRule type="expression" dxfId="20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3月"</f>
        <v>2027年 3月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IF(MONTH((DATE(年間!$C$1,3,1)-WEEKDAY(DATE(年間!$C$1,3,1))+1))=3,DAY((DATE(年間!$C$1,3,1)-WEEKDAY(DATE(年間!$C$1,3,1))+1)),"")</f>
        <v/>
      </c>
      <c r="B3" s="9">
        <f>IF(MONTH((DATE(年間!$C$1,3,1)-WEEKDAY(DATE(年間!$C$1,3,1))+2))=3,DAY((DATE(年間!$C$1,3,1)-WEEKDAY(DATE(年間!$C$1,3,1))+2)),"")</f>
        <v>1</v>
      </c>
      <c r="C3" s="9">
        <f>IF(MONTH((DATE(年間!$C$1,3,1)-WEEKDAY(DATE(年間!$C$1,3,1))+3))=3,DAY((DATE(年間!$C$1,3,1)-WEEKDAY(DATE(年間!$C$1,3,1))+3)),"")</f>
        <v>2</v>
      </c>
      <c r="D3" s="9">
        <f>IF(MONTH((DATE(年間!$C$1,3,1)-WEEKDAY(DATE(年間!$C$1,3,1))+4))=3,DAY((DATE(年間!$C$1,3,1)-WEEKDAY(DATE(年間!$C$1,3,1))+4)),"")</f>
        <v>3</v>
      </c>
      <c r="E3" s="9">
        <f>IF(MONTH((DATE(年間!$C$1,3,1)-WEEKDAY(DATE(年間!$C$1,3,1))+5))=3,DAY((DATE(年間!$C$1,3,1)-WEEKDAY(DATE(年間!$C$1,3,1))+5)),"")</f>
        <v>4</v>
      </c>
      <c r="F3" s="9">
        <f>IF(MONTH((DATE(年間!$C$1,3,1)-WEEKDAY(DATE(年間!$C$1,3,1))+6))=3,DAY((DATE(年間!$C$1,3,1)-WEEKDAY(DATE(年間!$C$1,3,1))+6)),"")</f>
        <v>5</v>
      </c>
      <c r="G3" s="9">
        <f>IF(MONTH((DATE(年間!$C$1,3,1)-WEEKDAY(DATE(年間!$C$1,3,1))+7))=3,DAY((DATE(年間!$C$1,3,1)-WEEKDAY(DATE(年間!$C$1,3,1))+7)),"")</f>
        <v>6</v>
      </c>
    </row>
    <row r="4" spans="1:7" ht="50" customHeight="1" x14ac:dyDescent="0.2">
      <c r="A4" s="10" t="str">
        <f>IF(MONTH((DATE(年間!$C$1,3,1)-WEEKDAY(DATE(年間!$C$1,3,1))+1))=3,IFERROR(VLOOKUP((DATE(年間!$C$1,3,1)-WEEKDAY(DATE(年間!$C$1,3,1))+1),祝日!$A$2:$B$75,2,FALSE),""),"")</f>
        <v/>
      </c>
      <c r="B4" s="10" t="str">
        <f>IF(MONTH((DATE(年間!$C$1,3,1)-WEEKDAY(DATE(年間!$C$1,3,1))+2))=3,IFERROR(VLOOKUP((DATE(年間!$C$1,3,1)-WEEKDAY(DATE(年間!$C$1,3,1))+2),祝日!$A$2:$B$75,2,FALSE),""),"")</f>
        <v/>
      </c>
      <c r="C4" s="10" t="str">
        <f>IF(MONTH((DATE(年間!$C$1,3,1)-WEEKDAY(DATE(年間!$C$1,3,1))+3))=3,IFERROR(VLOOKUP((DATE(年間!$C$1,3,1)-WEEKDAY(DATE(年間!$C$1,3,1))+3),祝日!$A$2:$B$75,2,FALSE),""),"")</f>
        <v/>
      </c>
      <c r="D4" s="10" t="str">
        <f>IF(MONTH((DATE(年間!$C$1,3,1)-WEEKDAY(DATE(年間!$C$1,3,1))+4))=3,IFERROR(VLOOKUP((DATE(年間!$C$1,3,1)-WEEKDAY(DATE(年間!$C$1,3,1))+4),祝日!$A$2:$B$75,2,FALSE),""),"")</f>
        <v/>
      </c>
      <c r="E4" s="10" t="str">
        <f>IF(MONTH((DATE(年間!$C$1,3,1)-WEEKDAY(DATE(年間!$C$1,3,1))+5))=3,IFERROR(VLOOKUP((DATE(年間!$C$1,3,1)-WEEKDAY(DATE(年間!$C$1,3,1))+5),祝日!$A$2:$B$75,2,FALSE),""),"")</f>
        <v/>
      </c>
      <c r="F4" s="10" t="str">
        <f>IF(MONTH((DATE(年間!$C$1,3,1)-WEEKDAY(DATE(年間!$C$1,3,1))+6))=3,IFERROR(VLOOKUP((DATE(年間!$C$1,3,1)-WEEKDAY(DATE(年間!$C$1,3,1))+6),祝日!$A$2:$B$75,2,FALSE),""),"")</f>
        <v/>
      </c>
      <c r="G4" s="10" t="str">
        <f>IF(MONTH((DATE(年間!$C$1,3,1)-WEEKDAY(DATE(年間!$C$1,3,1))+7))=3,IFERROR(VLOOKUP((DATE(年間!$C$1,3,1)-WEEKDAY(DATE(年間!$C$1,3,1))+7),祝日!$A$2:$B$75,2,FALSE),""),"")</f>
        <v/>
      </c>
    </row>
    <row r="5" spans="1:7" ht="26" customHeight="1" x14ac:dyDescent="0.2">
      <c r="A5" s="9">
        <f>IF(MONTH((DATE(年間!$C$1,3,1)-WEEKDAY(DATE(年間!$C$1,3,1))+8))=3,DAY((DATE(年間!$C$1,3,1)-WEEKDAY(DATE(年間!$C$1,3,1))+8)),"")</f>
        <v>7</v>
      </c>
      <c r="B5" s="9">
        <f>IF(MONTH((DATE(年間!$C$1,3,1)-WEEKDAY(DATE(年間!$C$1,3,1))+9))=3,DAY((DATE(年間!$C$1,3,1)-WEEKDAY(DATE(年間!$C$1,3,1))+9)),"")</f>
        <v>8</v>
      </c>
      <c r="C5" s="9">
        <f>IF(MONTH((DATE(年間!$C$1,3,1)-WEEKDAY(DATE(年間!$C$1,3,1))+10))=3,DAY((DATE(年間!$C$1,3,1)-WEEKDAY(DATE(年間!$C$1,3,1))+10)),"")</f>
        <v>9</v>
      </c>
      <c r="D5" s="9">
        <f>IF(MONTH((DATE(年間!$C$1,3,1)-WEEKDAY(DATE(年間!$C$1,3,1))+11))=3,DAY((DATE(年間!$C$1,3,1)-WEEKDAY(DATE(年間!$C$1,3,1))+11)),"")</f>
        <v>10</v>
      </c>
      <c r="E5" s="9">
        <f>IF(MONTH((DATE(年間!$C$1,3,1)-WEEKDAY(DATE(年間!$C$1,3,1))+12))=3,DAY((DATE(年間!$C$1,3,1)-WEEKDAY(DATE(年間!$C$1,3,1))+12)),"")</f>
        <v>11</v>
      </c>
      <c r="F5" s="9">
        <f>IF(MONTH((DATE(年間!$C$1,3,1)-WEEKDAY(DATE(年間!$C$1,3,1))+13))=3,DAY((DATE(年間!$C$1,3,1)-WEEKDAY(DATE(年間!$C$1,3,1))+13)),"")</f>
        <v>12</v>
      </c>
      <c r="G5" s="9">
        <f>IF(MONTH((DATE(年間!$C$1,3,1)-WEEKDAY(DATE(年間!$C$1,3,1))+14))=3,DAY((DATE(年間!$C$1,3,1)-WEEKDAY(DATE(年間!$C$1,3,1))+14)),"")</f>
        <v>13</v>
      </c>
    </row>
    <row r="6" spans="1:7" ht="50" customHeight="1" x14ac:dyDescent="0.2">
      <c r="A6" s="10" t="str">
        <f>IF(MONTH((DATE(年間!$C$1,3,1)-WEEKDAY(DATE(年間!$C$1,3,1))+8))=3,IFERROR(VLOOKUP((DATE(年間!$C$1,3,1)-WEEKDAY(DATE(年間!$C$1,3,1))+8),祝日!$A$2:$B$75,2,FALSE),""),"")</f>
        <v/>
      </c>
      <c r="B6" s="10" t="str">
        <f>IF(MONTH((DATE(年間!$C$1,3,1)-WEEKDAY(DATE(年間!$C$1,3,1))+9))=3,IFERROR(VLOOKUP((DATE(年間!$C$1,3,1)-WEEKDAY(DATE(年間!$C$1,3,1))+9),祝日!$A$2:$B$75,2,FALSE),""),"")</f>
        <v/>
      </c>
      <c r="C6" s="10" t="str">
        <f>IF(MONTH((DATE(年間!$C$1,3,1)-WEEKDAY(DATE(年間!$C$1,3,1))+10))=3,IFERROR(VLOOKUP((DATE(年間!$C$1,3,1)-WEEKDAY(DATE(年間!$C$1,3,1))+10),祝日!$A$2:$B$75,2,FALSE),""),"")</f>
        <v/>
      </c>
      <c r="D6" s="10" t="str">
        <f>IF(MONTH((DATE(年間!$C$1,3,1)-WEEKDAY(DATE(年間!$C$1,3,1))+11))=3,IFERROR(VLOOKUP((DATE(年間!$C$1,3,1)-WEEKDAY(DATE(年間!$C$1,3,1))+11),祝日!$A$2:$B$75,2,FALSE),""),"")</f>
        <v/>
      </c>
      <c r="E6" s="10" t="str">
        <f>IF(MONTH((DATE(年間!$C$1,3,1)-WEEKDAY(DATE(年間!$C$1,3,1))+12))=3,IFERROR(VLOOKUP((DATE(年間!$C$1,3,1)-WEEKDAY(DATE(年間!$C$1,3,1))+12),祝日!$A$2:$B$75,2,FALSE),""),"")</f>
        <v/>
      </c>
      <c r="F6" s="10" t="str">
        <f>IF(MONTH((DATE(年間!$C$1,3,1)-WEEKDAY(DATE(年間!$C$1,3,1))+13))=3,IFERROR(VLOOKUP((DATE(年間!$C$1,3,1)-WEEKDAY(DATE(年間!$C$1,3,1))+13),祝日!$A$2:$B$75,2,FALSE),""),"")</f>
        <v/>
      </c>
      <c r="G6" s="10" t="str">
        <f>IF(MONTH((DATE(年間!$C$1,3,1)-WEEKDAY(DATE(年間!$C$1,3,1))+14))=3,IFERROR(VLOOKUP((DATE(年間!$C$1,3,1)-WEEKDAY(DATE(年間!$C$1,3,1))+14),祝日!$A$2:$B$75,2,FALSE),""),"")</f>
        <v/>
      </c>
    </row>
    <row r="7" spans="1:7" ht="26" customHeight="1" x14ac:dyDescent="0.2">
      <c r="A7" s="9">
        <f>IF(MONTH((DATE(年間!$C$1,3,1)-WEEKDAY(DATE(年間!$C$1,3,1))+15))=3,DAY((DATE(年間!$C$1,3,1)-WEEKDAY(DATE(年間!$C$1,3,1))+15)),"")</f>
        <v>14</v>
      </c>
      <c r="B7" s="9">
        <f>IF(MONTH((DATE(年間!$C$1,3,1)-WEEKDAY(DATE(年間!$C$1,3,1))+16))=3,DAY((DATE(年間!$C$1,3,1)-WEEKDAY(DATE(年間!$C$1,3,1))+16)),"")</f>
        <v>15</v>
      </c>
      <c r="C7" s="9">
        <f>IF(MONTH((DATE(年間!$C$1,3,1)-WEEKDAY(DATE(年間!$C$1,3,1))+17))=3,DAY((DATE(年間!$C$1,3,1)-WEEKDAY(DATE(年間!$C$1,3,1))+17)),"")</f>
        <v>16</v>
      </c>
      <c r="D7" s="9">
        <f>IF(MONTH((DATE(年間!$C$1,3,1)-WEEKDAY(DATE(年間!$C$1,3,1))+18))=3,DAY((DATE(年間!$C$1,3,1)-WEEKDAY(DATE(年間!$C$1,3,1))+18)),"")</f>
        <v>17</v>
      </c>
      <c r="E7" s="9">
        <f>IF(MONTH((DATE(年間!$C$1,3,1)-WEEKDAY(DATE(年間!$C$1,3,1))+19))=3,DAY((DATE(年間!$C$1,3,1)-WEEKDAY(DATE(年間!$C$1,3,1))+19)),"")</f>
        <v>18</v>
      </c>
      <c r="F7" s="9">
        <f>IF(MONTH((DATE(年間!$C$1,3,1)-WEEKDAY(DATE(年間!$C$1,3,1))+20))=3,DAY((DATE(年間!$C$1,3,1)-WEEKDAY(DATE(年間!$C$1,3,1))+20)),"")</f>
        <v>19</v>
      </c>
      <c r="G7" s="9">
        <f>IF(MONTH((DATE(年間!$C$1,3,1)-WEEKDAY(DATE(年間!$C$1,3,1))+21))=3,DAY((DATE(年間!$C$1,3,1)-WEEKDAY(DATE(年間!$C$1,3,1))+21)),"")</f>
        <v>20</v>
      </c>
    </row>
    <row r="8" spans="1:7" ht="50" customHeight="1" x14ac:dyDescent="0.2">
      <c r="A8" s="10" t="str">
        <f>IF(MONTH((DATE(年間!$C$1,3,1)-WEEKDAY(DATE(年間!$C$1,3,1))+15))=3,IFERROR(VLOOKUP((DATE(年間!$C$1,3,1)-WEEKDAY(DATE(年間!$C$1,3,1))+15),祝日!$A$2:$B$75,2,FALSE),""),"")</f>
        <v/>
      </c>
      <c r="B8" s="10" t="str">
        <f>IF(MONTH((DATE(年間!$C$1,3,1)-WEEKDAY(DATE(年間!$C$1,3,1))+16))=3,IFERROR(VLOOKUP((DATE(年間!$C$1,3,1)-WEEKDAY(DATE(年間!$C$1,3,1))+16),祝日!$A$2:$B$75,2,FALSE),""),"")</f>
        <v/>
      </c>
      <c r="C8" s="10" t="str">
        <f>IF(MONTH((DATE(年間!$C$1,3,1)-WEEKDAY(DATE(年間!$C$1,3,1))+17))=3,IFERROR(VLOOKUP((DATE(年間!$C$1,3,1)-WEEKDAY(DATE(年間!$C$1,3,1))+17),祝日!$A$2:$B$75,2,FALSE),""),"")</f>
        <v/>
      </c>
      <c r="D8" s="10" t="str">
        <f>IF(MONTH((DATE(年間!$C$1,3,1)-WEEKDAY(DATE(年間!$C$1,3,1))+18))=3,IFERROR(VLOOKUP((DATE(年間!$C$1,3,1)-WEEKDAY(DATE(年間!$C$1,3,1))+18),祝日!$A$2:$B$75,2,FALSE),""),"")</f>
        <v/>
      </c>
      <c r="E8" s="10" t="str">
        <f>IF(MONTH((DATE(年間!$C$1,3,1)-WEEKDAY(DATE(年間!$C$1,3,1))+19))=3,IFERROR(VLOOKUP((DATE(年間!$C$1,3,1)-WEEKDAY(DATE(年間!$C$1,3,1))+19),祝日!$A$2:$B$75,2,FALSE),""),"")</f>
        <v/>
      </c>
      <c r="F8" s="10" t="str">
        <f>IF(MONTH((DATE(年間!$C$1,3,1)-WEEKDAY(DATE(年間!$C$1,3,1))+20))=3,IFERROR(VLOOKUP((DATE(年間!$C$1,3,1)-WEEKDAY(DATE(年間!$C$1,3,1))+20),祝日!$A$2:$B$75,2,FALSE),""),"")</f>
        <v/>
      </c>
      <c r="G8" s="10" t="str">
        <f>IF(MONTH((DATE(年間!$C$1,3,1)-WEEKDAY(DATE(年間!$C$1,3,1))+21))=3,IFERROR(VLOOKUP((DATE(年間!$C$1,3,1)-WEEKDAY(DATE(年間!$C$1,3,1))+21),祝日!$A$2:$B$75,2,FALSE),""),"")</f>
        <v/>
      </c>
    </row>
    <row r="9" spans="1:7" ht="26" customHeight="1" x14ac:dyDescent="0.2">
      <c r="A9" s="9">
        <f>IF(MONTH((DATE(年間!$C$1,3,1)-WEEKDAY(DATE(年間!$C$1,3,1))+22))=3,DAY((DATE(年間!$C$1,3,1)-WEEKDAY(DATE(年間!$C$1,3,1))+22)),"")</f>
        <v>21</v>
      </c>
      <c r="B9" s="9">
        <f>IF(MONTH((DATE(年間!$C$1,3,1)-WEEKDAY(DATE(年間!$C$1,3,1))+23))=3,DAY((DATE(年間!$C$1,3,1)-WEEKDAY(DATE(年間!$C$1,3,1))+23)),"")</f>
        <v>22</v>
      </c>
      <c r="C9" s="9">
        <f>IF(MONTH((DATE(年間!$C$1,3,1)-WEEKDAY(DATE(年間!$C$1,3,1))+24))=3,DAY((DATE(年間!$C$1,3,1)-WEEKDAY(DATE(年間!$C$1,3,1))+24)),"")</f>
        <v>23</v>
      </c>
      <c r="D9" s="9">
        <f>IF(MONTH((DATE(年間!$C$1,3,1)-WEEKDAY(DATE(年間!$C$1,3,1))+25))=3,DAY((DATE(年間!$C$1,3,1)-WEEKDAY(DATE(年間!$C$1,3,1))+25)),"")</f>
        <v>24</v>
      </c>
      <c r="E9" s="9">
        <f>IF(MONTH((DATE(年間!$C$1,3,1)-WEEKDAY(DATE(年間!$C$1,3,1))+26))=3,DAY((DATE(年間!$C$1,3,1)-WEEKDAY(DATE(年間!$C$1,3,1))+26)),"")</f>
        <v>25</v>
      </c>
      <c r="F9" s="9">
        <f>IF(MONTH((DATE(年間!$C$1,3,1)-WEEKDAY(DATE(年間!$C$1,3,1))+27))=3,DAY((DATE(年間!$C$1,3,1)-WEEKDAY(DATE(年間!$C$1,3,1))+27)),"")</f>
        <v>26</v>
      </c>
      <c r="G9" s="9">
        <f>IF(MONTH((DATE(年間!$C$1,3,1)-WEEKDAY(DATE(年間!$C$1,3,1))+28))=3,DAY((DATE(年間!$C$1,3,1)-WEEKDAY(DATE(年間!$C$1,3,1))+28)),"")</f>
        <v>27</v>
      </c>
    </row>
    <row r="10" spans="1:7" ht="50" customHeight="1" x14ac:dyDescent="0.2">
      <c r="A10" s="10" t="str">
        <f>IF(MONTH((DATE(年間!$C$1,3,1)-WEEKDAY(DATE(年間!$C$1,3,1))+22))=3,IFERROR(VLOOKUP((DATE(年間!$C$1,3,1)-WEEKDAY(DATE(年間!$C$1,3,1))+22),祝日!$A$2:$B$75,2,FALSE),""),"")</f>
        <v>春分の日</v>
      </c>
      <c r="B10" s="10" t="str">
        <f>IF(MONTH((DATE(年間!$C$1,3,1)-WEEKDAY(DATE(年間!$C$1,3,1))+23))=3,IFERROR(VLOOKUP((DATE(年間!$C$1,3,1)-WEEKDAY(DATE(年間!$C$1,3,1))+23),祝日!$A$2:$B$75,2,FALSE),""),"")</f>
        <v>振替休日</v>
      </c>
      <c r="C10" s="10" t="str">
        <f>IF(MONTH((DATE(年間!$C$1,3,1)-WEEKDAY(DATE(年間!$C$1,3,1))+24))=3,IFERROR(VLOOKUP((DATE(年間!$C$1,3,1)-WEEKDAY(DATE(年間!$C$1,3,1))+24),祝日!$A$2:$B$75,2,FALSE),""),"")</f>
        <v/>
      </c>
      <c r="D10" s="10" t="str">
        <f>IF(MONTH((DATE(年間!$C$1,3,1)-WEEKDAY(DATE(年間!$C$1,3,1))+25))=3,IFERROR(VLOOKUP((DATE(年間!$C$1,3,1)-WEEKDAY(DATE(年間!$C$1,3,1))+25),祝日!$A$2:$B$75,2,FALSE),""),"")</f>
        <v/>
      </c>
      <c r="E10" s="10" t="str">
        <f>IF(MONTH((DATE(年間!$C$1,3,1)-WEEKDAY(DATE(年間!$C$1,3,1))+26))=3,IFERROR(VLOOKUP((DATE(年間!$C$1,3,1)-WEEKDAY(DATE(年間!$C$1,3,1))+26),祝日!$A$2:$B$75,2,FALSE),""),"")</f>
        <v/>
      </c>
      <c r="F10" s="10" t="str">
        <f>IF(MONTH((DATE(年間!$C$1,3,1)-WEEKDAY(DATE(年間!$C$1,3,1))+27))=3,IFERROR(VLOOKUP((DATE(年間!$C$1,3,1)-WEEKDAY(DATE(年間!$C$1,3,1))+27),祝日!$A$2:$B$75,2,FALSE),""),"")</f>
        <v/>
      </c>
      <c r="G10" s="10" t="str">
        <f>IF(MONTH((DATE(年間!$C$1,3,1)-WEEKDAY(DATE(年間!$C$1,3,1))+28))=3,IFERROR(VLOOKUP((DATE(年間!$C$1,3,1)-WEEKDAY(DATE(年間!$C$1,3,1))+28),祝日!$A$2:$B$75,2,FALSE),""),"")</f>
        <v/>
      </c>
    </row>
    <row r="11" spans="1:7" ht="26" customHeight="1" x14ac:dyDescent="0.2">
      <c r="A11" s="9">
        <f>IF(MONTH((DATE(年間!$C$1,3,1)-WEEKDAY(DATE(年間!$C$1,3,1))+29))=3,DAY((DATE(年間!$C$1,3,1)-WEEKDAY(DATE(年間!$C$1,3,1))+29)),"")</f>
        <v>28</v>
      </c>
      <c r="B11" s="9">
        <f>IF(MONTH((DATE(年間!$C$1,3,1)-WEEKDAY(DATE(年間!$C$1,3,1))+30))=3,DAY((DATE(年間!$C$1,3,1)-WEEKDAY(DATE(年間!$C$1,3,1))+30)),"")</f>
        <v>29</v>
      </c>
      <c r="C11" s="9">
        <f>IF(MONTH((DATE(年間!$C$1,3,1)-WEEKDAY(DATE(年間!$C$1,3,1))+31))=3,DAY((DATE(年間!$C$1,3,1)-WEEKDAY(DATE(年間!$C$1,3,1))+31)),"")</f>
        <v>30</v>
      </c>
      <c r="D11" s="9">
        <f>IF(MONTH((DATE(年間!$C$1,3,1)-WEEKDAY(DATE(年間!$C$1,3,1))+32))=3,DAY((DATE(年間!$C$1,3,1)-WEEKDAY(DATE(年間!$C$1,3,1))+32)),"")</f>
        <v>31</v>
      </c>
      <c r="E11" s="9" t="str">
        <f>IF(MONTH((DATE(年間!$C$1,3,1)-WEEKDAY(DATE(年間!$C$1,3,1))+33))=3,DAY((DATE(年間!$C$1,3,1)-WEEKDAY(DATE(年間!$C$1,3,1))+33)),"")</f>
        <v/>
      </c>
      <c r="F11" s="9" t="str">
        <f>IF(MONTH((DATE(年間!$C$1,3,1)-WEEKDAY(DATE(年間!$C$1,3,1))+34))=3,DAY((DATE(年間!$C$1,3,1)-WEEKDAY(DATE(年間!$C$1,3,1))+34)),"")</f>
        <v/>
      </c>
      <c r="G11" s="9" t="str">
        <f>IF(MONTH((DATE(年間!$C$1,3,1)-WEEKDAY(DATE(年間!$C$1,3,1))+35))=3,DAY((DATE(年間!$C$1,3,1)-WEEKDAY(DATE(年間!$C$1,3,1))+35)),"")</f>
        <v/>
      </c>
    </row>
    <row r="12" spans="1:7" ht="50" customHeight="1" x14ac:dyDescent="0.2">
      <c r="A12" s="10" t="str">
        <f>IF(MONTH((DATE(年間!$C$1,3,1)-WEEKDAY(DATE(年間!$C$1,3,1))+29))=3,IFERROR(VLOOKUP((DATE(年間!$C$1,3,1)-WEEKDAY(DATE(年間!$C$1,3,1))+29),祝日!$A$2:$B$75,2,FALSE),""),"")</f>
        <v/>
      </c>
      <c r="B12" s="10" t="str">
        <f>IF(MONTH((DATE(年間!$C$1,3,1)-WEEKDAY(DATE(年間!$C$1,3,1))+30))=3,IFERROR(VLOOKUP((DATE(年間!$C$1,3,1)-WEEKDAY(DATE(年間!$C$1,3,1))+30),祝日!$A$2:$B$75,2,FALSE),""),"")</f>
        <v/>
      </c>
      <c r="C12" s="10" t="str">
        <f>IF(MONTH((DATE(年間!$C$1,3,1)-WEEKDAY(DATE(年間!$C$1,3,1))+31))=3,IFERROR(VLOOKUP((DATE(年間!$C$1,3,1)-WEEKDAY(DATE(年間!$C$1,3,1))+31),祝日!$A$2:$B$75,2,FALSE),""),"")</f>
        <v/>
      </c>
      <c r="D12" s="10" t="str">
        <f>IF(MONTH((DATE(年間!$C$1,3,1)-WEEKDAY(DATE(年間!$C$1,3,1))+32))=3,IFERROR(VLOOKUP((DATE(年間!$C$1,3,1)-WEEKDAY(DATE(年間!$C$1,3,1))+32),祝日!$A$2:$B$75,2,FALSE),""),"")</f>
        <v/>
      </c>
      <c r="E12" s="10" t="str">
        <f>IF(MONTH((DATE(年間!$C$1,3,1)-WEEKDAY(DATE(年間!$C$1,3,1))+33))=3,IFERROR(VLOOKUP((DATE(年間!$C$1,3,1)-WEEKDAY(DATE(年間!$C$1,3,1))+33),祝日!$A$2:$B$75,2,FALSE),""),"")</f>
        <v/>
      </c>
      <c r="F12" s="10" t="str">
        <f>IF(MONTH((DATE(年間!$C$1,3,1)-WEEKDAY(DATE(年間!$C$1,3,1))+34))=3,IFERROR(VLOOKUP((DATE(年間!$C$1,3,1)-WEEKDAY(DATE(年間!$C$1,3,1))+34),祝日!$A$2:$B$75,2,FALSE),""),"")</f>
        <v/>
      </c>
      <c r="G12" s="10" t="str">
        <f>IF(MONTH((DATE(年間!$C$1,3,1)-WEEKDAY(DATE(年間!$C$1,3,1))+35))=3,IFERROR(VLOOKUP((DATE(年間!$C$1,3,1)-WEEKDAY(DATE(年間!$C$1,3,1))+35),祝日!$A$2:$B$75,2,FALSE),""),"")</f>
        <v/>
      </c>
    </row>
    <row r="13" spans="1:7" ht="26" customHeight="1" x14ac:dyDescent="0.2">
      <c r="A13" s="9" t="str">
        <f>IF(MONTH((DATE(年間!$C$1,3,1)-WEEKDAY(DATE(年間!$C$1,3,1))+36))=3,DAY((DATE(年間!$C$1,3,1)-WEEKDAY(DATE(年間!$C$1,3,1))+36)),"")</f>
        <v/>
      </c>
      <c r="B13" s="9" t="str">
        <f>IF(MONTH((DATE(年間!$C$1,3,1)-WEEKDAY(DATE(年間!$C$1,3,1))+37))=3,DAY((DATE(年間!$C$1,3,1)-WEEKDAY(DATE(年間!$C$1,3,1))+37)),"")</f>
        <v/>
      </c>
      <c r="C13" s="9" t="str">
        <f>IF(MONTH((DATE(年間!$C$1,3,1)-WEEKDAY(DATE(年間!$C$1,3,1))+38))=3,DAY((DATE(年間!$C$1,3,1)-WEEKDAY(DATE(年間!$C$1,3,1))+38)),"")</f>
        <v/>
      </c>
      <c r="D13" s="9" t="str">
        <f>IF(MONTH((DATE(年間!$C$1,3,1)-WEEKDAY(DATE(年間!$C$1,3,1))+39))=3,DAY((DATE(年間!$C$1,3,1)-WEEKDAY(DATE(年間!$C$1,3,1))+39)),"")</f>
        <v/>
      </c>
      <c r="E13" s="9" t="str">
        <f>IF(MONTH((DATE(年間!$C$1,3,1)-WEEKDAY(DATE(年間!$C$1,3,1))+40))=3,DAY((DATE(年間!$C$1,3,1)-WEEKDAY(DATE(年間!$C$1,3,1))+40)),"")</f>
        <v/>
      </c>
      <c r="F13" s="9" t="str">
        <f>IF(MONTH((DATE(年間!$C$1,3,1)-WEEKDAY(DATE(年間!$C$1,3,1))+41))=3,DAY((DATE(年間!$C$1,3,1)-WEEKDAY(DATE(年間!$C$1,3,1))+41)),"")</f>
        <v/>
      </c>
      <c r="G13" s="9" t="str">
        <f>IF(MONTH((DATE(年間!$C$1,3,1)-WEEKDAY(DATE(年間!$C$1,3,1))+42))=3,DAY((DATE(年間!$C$1,3,1)-WEEKDAY(DATE(年間!$C$1,3,1))+42)),"")</f>
        <v/>
      </c>
    </row>
    <row r="14" spans="1:7" ht="50" customHeight="1" x14ac:dyDescent="0.2">
      <c r="A14" s="10" t="str">
        <f>IF(MONTH((DATE(年間!$C$1,3,1)-WEEKDAY(DATE(年間!$C$1,3,1))+36))=3,IFERROR(VLOOKUP((DATE(年間!$C$1,3,1)-WEEKDAY(DATE(年間!$C$1,3,1))+36),祝日!$A$2:$B$75,2,FALSE),""),"")</f>
        <v/>
      </c>
      <c r="B14" s="10" t="str">
        <f>IF(MONTH((DATE(年間!$C$1,3,1)-WEEKDAY(DATE(年間!$C$1,3,1))+37))=3,IFERROR(VLOOKUP((DATE(年間!$C$1,3,1)-WEEKDAY(DATE(年間!$C$1,3,1))+37),祝日!$A$2:$B$75,2,FALSE),""),"")</f>
        <v/>
      </c>
      <c r="C14" s="10" t="str">
        <f>IF(MONTH((DATE(年間!$C$1,3,1)-WEEKDAY(DATE(年間!$C$1,3,1))+38))=3,IFERROR(VLOOKUP((DATE(年間!$C$1,3,1)-WEEKDAY(DATE(年間!$C$1,3,1))+38),祝日!$A$2:$B$75,2,FALSE),""),"")</f>
        <v/>
      </c>
      <c r="D14" s="10" t="str">
        <f>IF(MONTH((DATE(年間!$C$1,3,1)-WEEKDAY(DATE(年間!$C$1,3,1))+39))=3,IFERROR(VLOOKUP((DATE(年間!$C$1,3,1)-WEEKDAY(DATE(年間!$C$1,3,1))+39),祝日!$A$2:$B$75,2,FALSE),""),"")</f>
        <v/>
      </c>
      <c r="E14" s="10" t="str">
        <f>IF(MONTH((DATE(年間!$C$1,3,1)-WEEKDAY(DATE(年間!$C$1,3,1))+40))=3,IFERROR(VLOOKUP((DATE(年間!$C$1,3,1)-WEEKDAY(DATE(年間!$C$1,3,1))+40),祝日!$A$2:$B$75,2,FALSE),""),"")</f>
        <v/>
      </c>
      <c r="F14" s="10" t="str">
        <f>IF(MONTH((DATE(年間!$C$1,3,1)-WEEKDAY(DATE(年間!$C$1,3,1))+41))=3,IFERROR(VLOOKUP((DATE(年間!$C$1,3,1)-WEEKDAY(DATE(年間!$C$1,3,1))+41),祝日!$A$2:$B$75,2,FALSE),""),"")</f>
        <v/>
      </c>
      <c r="G14" s="10" t="str">
        <f>IF(MONTH((DATE(年間!$C$1,3,1)-WEEKDAY(DATE(年間!$C$1,3,1))+42))=3,IFERROR(VLOOKUP((DATE(年間!$C$1,3,1)-WEEKDAY(DATE(年間!$C$1,3,1))+42),祝日!$A$2:$B$75,2,FALSE),""),"")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19" priority="1">
      <formula>AND(A3&lt;&gt;"",OR(COLUMN(A3)=1,A4&lt;&gt;""))</formula>
    </cfRule>
  </conditionalFormatting>
  <conditionalFormatting sqref="G3 G5 G7 G9 G11 G13">
    <cfRule type="expression" dxfId="18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4月"</f>
        <v>2027年 4月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IF(MONTH((DATE(年間!$C$1,4,1)-WEEKDAY(DATE(年間!$C$1,4,1))+1))=4,DAY((DATE(年間!$C$1,4,1)-WEEKDAY(DATE(年間!$C$1,4,1))+1)),"")</f>
        <v/>
      </c>
      <c r="B3" s="9" t="str">
        <f>IF(MONTH((DATE(年間!$C$1,4,1)-WEEKDAY(DATE(年間!$C$1,4,1))+2))=4,DAY((DATE(年間!$C$1,4,1)-WEEKDAY(DATE(年間!$C$1,4,1))+2)),"")</f>
        <v/>
      </c>
      <c r="C3" s="9" t="str">
        <f>IF(MONTH((DATE(年間!$C$1,4,1)-WEEKDAY(DATE(年間!$C$1,4,1))+3))=4,DAY((DATE(年間!$C$1,4,1)-WEEKDAY(DATE(年間!$C$1,4,1))+3)),"")</f>
        <v/>
      </c>
      <c r="D3" s="9" t="str">
        <f>IF(MONTH((DATE(年間!$C$1,4,1)-WEEKDAY(DATE(年間!$C$1,4,1))+4))=4,DAY((DATE(年間!$C$1,4,1)-WEEKDAY(DATE(年間!$C$1,4,1))+4)),"")</f>
        <v/>
      </c>
      <c r="E3" s="9">
        <f>IF(MONTH((DATE(年間!$C$1,4,1)-WEEKDAY(DATE(年間!$C$1,4,1))+5))=4,DAY((DATE(年間!$C$1,4,1)-WEEKDAY(DATE(年間!$C$1,4,1))+5)),"")</f>
        <v>1</v>
      </c>
      <c r="F3" s="9">
        <f>IF(MONTH((DATE(年間!$C$1,4,1)-WEEKDAY(DATE(年間!$C$1,4,1))+6))=4,DAY((DATE(年間!$C$1,4,1)-WEEKDAY(DATE(年間!$C$1,4,1))+6)),"")</f>
        <v>2</v>
      </c>
      <c r="G3" s="9">
        <f>IF(MONTH((DATE(年間!$C$1,4,1)-WEEKDAY(DATE(年間!$C$1,4,1))+7))=4,DAY((DATE(年間!$C$1,4,1)-WEEKDAY(DATE(年間!$C$1,4,1))+7)),"")</f>
        <v>3</v>
      </c>
    </row>
    <row r="4" spans="1:7" ht="50" customHeight="1" x14ac:dyDescent="0.2">
      <c r="A4" s="10" t="str">
        <f>IF(MONTH((DATE(年間!$C$1,4,1)-WEEKDAY(DATE(年間!$C$1,4,1))+1))=4,IFERROR(VLOOKUP((DATE(年間!$C$1,4,1)-WEEKDAY(DATE(年間!$C$1,4,1))+1),祝日!$A$2:$B$75,2,FALSE),""),"")</f>
        <v/>
      </c>
      <c r="B4" s="10" t="str">
        <f>IF(MONTH((DATE(年間!$C$1,4,1)-WEEKDAY(DATE(年間!$C$1,4,1))+2))=4,IFERROR(VLOOKUP((DATE(年間!$C$1,4,1)-WEEKDAY(DATE(年間!$C$1,4,1))+2),祝日!$A$2:$B$75,2,FALSE),""),"")</f>
        <v/>
      </c>
      <c r="C4" s="10" t="str">
        <f>IF(MONTH((DATE(年間!$C$1,4,1)-WEEKDAY(DATE(年間!$C$1,4,1))+3))=4,IFERROR(VLOOKUP((DATE(年間!$C$1,4,1)-WEEKDAY(DATE(年間!$C$1,4,1))+3),祝日!$A$2:$B$75,2,FALSE),""),"")</f>
        <v/>
      </c>
      <c r="D4" s="10" t="str">
        <f>IF(MONTH((DATE(年間!$C$1,4,1)-WEEKDAY(DATE(年間!$C$1,4,1))+4))=4,IFERROR(VLOOKUP((DATE(年間!$C$1,4,1)-WEEKDAY(DATE(年間!$C$1,4,1))+4),祝日!$A$2:$B$75,2,FALSE),""),"")</f>
        <v/>
      </c>
      <c r="E4" s="10" t="str">
        <f>IF(MONTH((DATE(年間!$C$1,4,1)-WEEKDAY(DATE(年間!$C$1,4,1))+5))=4,IFERROR(VLOOKUP((DATE(年間!$C$1,4,1)-WEEKDAY(DATE(年間!$C$1,4,1))+5),祝日!$A$2:$B$75,2,FALSE),""),"")</f>
        <v/>
      </c>
      <c r="F4" s="10" t="str">
        <f>IF(MONTH((DATE(年間!$C$1,4,1)-WEEKDAY(DATE(年間!$C$1,4,1))+6))=4,IFERROR(VLOOKUP((DATE(年間!$C$1,4,1)-WEEKDAY(DATE(年間!$C$1,4,1))+6),祝日!$A$2:$B$75,2,FALSE),""),"")</f>
        <v/>
      </c>
      <c r="G4" s="10" t="str">
        <f>IF(MONTH((DATE(年間!$C$1,4,1)-WEEKDAY(DATE(年間!$C$1,4,1))+7))=4,IFERROR(VLOOKUP((DATE(年間!$C$1,4,1)-WEEKDAY(DATE(年間!$C$1,4,1))+7),祝日!$A$2:$B$75,2,FALSE),""),"")</f>
        <v/>
      </c>
    </row>
    <row r="5" spans="1:7" ht="26" customHeight="1" x14ac:dyDescent="0.2">
      <c r="A5" s="9">
        <f>IF(MONTH((DATE(年間!$C$1,4,1)-WEEKDAY(DATE(年間!$C$1,4,1))+8))=4,DAY((DATE(年間!$C$1,4,1)-WEEKDAY(DATE(年間!$C$1,4,1))+8)),"")</f>
        <v>4</v>
      </c>
      <c r="B5" s="9">
        <f>IF(MONTH((DATE(年間!$C$1,4,1)-WEEKDAY(DATE(年間!$C$1,4,1))+9))=4,DAY((DATE(年間!$C$1,4,1)-WEEKDAY(DATE(年間!$C$1,4,1))+9)),"")</f>
        <v>5</v>
      </c>
      <c r="C5" s="9">
        <f>IF(MONTH((DATE(年間!$C$1,4,1)-WEEKDAY(DATE(年間!$C$1,4,1))+10))=4,DAY((DATE(年間!$C$1,4,1)-WEEKDAY(DATE(年間!$C$1,4,1))+10)),"")</f>
        <v>6</v>
      </c>
      <c r="D5" s="9">
        <f>IF(MONTH((DATE(年間!$C$1,4,1)-WEEKDAY(DATE(年間!$C$1,4,1))+11))=4,DAY((DATE(年間!$C$1,4,1)-WEEKDAY(DATE(年間!$C$1,4,1))+11)),"")</f>
        <v>7</v>
      </c>
      <c r="E5" s="9">
        <f>IF(MONTH((DATE(年間!$C$1,4,1)-WEEKDAY(DATE(年間!$C$1,4,1))+12))=4,DAY((DATE(年間!$C$1,4,1)-WEEKDAY(DATE(年間!$C$1,4,1))+12)),"")</f>
        <v>8</v>
      </c>
      <c r="F5" s="9">
        <f>IF(MONTH((DATE(年間!$C$1,4,1)-WEEKDAY(DATE(年間!$C$1,4,1))+13))=4,DAY((DATE(年間!$C$1,4,1)-WEEKDAY(DATE(年間!$C$1,4,1))+13)),"")</f>
        <v>9</v>
      </c>
      <c r="G5" s="9">
        <f>IF(MONTH((DATE(年間!$C$1,4,1)-WEEKDAY(DATE(年間!$C$1,4,1))+14))=4,DAY((DATE(年間!$C$1,4,1)-WEEKDAY(DATE(年間!$C$1,4,1))+14)),"")</f>
        <v>10</v>
      </c>
    </row>
    <row r="6" spans="1:7" ht="50" customHeight="1" x14ac:dyDescent="0.2">
      <c r="A6" s="10" t="str">
        <f>IF(MONTH((DATE(年間!$C$1,4,1)-WEEKDAY(DATE(年間!$C$1,4,1))+8))=4,IFERROR(VLOOKUP((DATE(年間!$C$1,4,1)-WEEKDAY(DATE(年間!$C$1,4,1))+8),祝日!$A$2:$B$75,2,FALSE),""),"")</f>
        <v/>
      </c>
      <c r="B6" s="10" t="str">
        <f>IF(MONTH((DATE(年間!$C$1,4,1)-WEEKDAY(DATE(年間!$C$1,4,1))+9))=4,IFERROR(VLOOKUP((DATE(年間!$C$1,4,1)-WEEKDAY(DATE(年間!$C$1,4,1))+9),祝日!$A$2:$B$75,2,FALSE),""),"")</f>
        <v/>
      </c>
      <c r="C6" s="10" t="str">
        <f>IF(MONTH((DATE(年間!$C$1,4,1)-WEEKDAY(DATE(年間!$C$1,4,1))+10))=4,IFERROR(VLOOKUP((DATE(年間!$C$1,4,1)-WEEKDAY(DATE(年間!$C$1,4,1))+10),祝日!$A$2:$B$75,2,FALSE),""),"")</f>
        <v/>
      </c>
      <c r="D6" s="10" t="str">
        <f>IF(MONTH((DATE(年間!$C$1,4,1)-WEEKDAY(DATE(年間!$C$1,4,1))+11))=4,IFERROR(VLOOKUP((DATE(年間!$C$1,4,1)-WEEKDAY(DATE(年間!$C$1,4,1))+11),祝日!$A$2:$B$75,2,FALSE),""),"")</f>
        <v/>
      </c>
      <c r="E6" s="10" t="str">
        <f>IF(MONTH((DATE(年間!$C$1,4,1)-WEEKDAY(DATE(年間!$C$1,4,1))+12))=4,IFERROR(VLOOKUP((DATE(年間!$C$1,4,1)-WEEKDAY(DATE(年間!$C$1,4,1))+12),祝日!$A$2:$B$75,2,FALSE),""),"")</f>
        <v/>
      </c>
      <c r="F6" s="10" t="str">
        <f>IF(MONTH((DATE(年間!$C$1,4,1)-WEEKDAY(DATE(年間!$C$1,4,1))+13))=4,IFERROR(VLOOKUP((DATE(年間!$C$1,4,1)-WEEKDAY(DATE(年間!$C$1,4,1))+13),祝日!$A$2:$B$75,2,FALSE),""),"")</f>
        <v/>
      </c>
      <c r="G6" s="10" t="str">
        <f>IF(MONTH((DATE(年間!$C$1,4,1)-WEEKDAY(DATE(年間!$C$1,4,1))+14))=4,IFERROR(VLOOKUP((DATE(年間!$C$1,4,1)-WEEKDAY(DATE(年間!$C$1,4,1))+14),祝日!$A$2:$B$75,2,FALSE),""),"")</f>
        <v/>
      </c>
    </row>
    <row r="7" spans="1:7" ht="26" customHeight="1" x14ac:dyDescent="0.2">
      <c r="A7" s="9">
        <f>IF(MONTH((DATE(年間!$C$1,4,1)-WEEKDAY(DATE(年間!$C$1,4,1))+15))=4,DAY((DATE(年間!$C$1,4,1)-WEEKDAY(DATE(年間!$C$1,4,1))+15)),"")</f>
        <v>11</v>
      </c>
      <c r="B7" s="9">
        <f>IF(MONTH((DATE(年間!$C$1,4,1)-WEEKDAY(DATE(年間!$C$1,4,1))+16))=4,DAY((DATE(年間!$C$1,4,1)-WEEKDAY(DATE(年間!$C$1,4,1))+16)),"")</f>
        <v>12</v>
      </c>
      <c r="C7" s="9">
        <f>IF(MONTH((DATE(年間!$C$1,4,1)-WEEKDAY(DATE(年間!$C$1,4,1))+17))=4,DAY((DATE(年間!$C$1,4,1)-WEEKDAY(DATE(年間!$C$1,4,1))+17)),"")</f>
        <v>13</v>
      </c>
      <c r="D7" s="9">
        <f>IF(MONTH((DATE(年間!$C$1,4,1)-WEEKDAY(DATE(年間!$C$1,4,1))+18))=4,DAY((DATE(年間!$C$1,4,1)-WEEKDAY(DATE(年間!$C$1,4,1))+18)),"")</f>
        <v>14</v>
      </c>
      <c r="E7" s="9">
        <f>IF(MONTH((DATE(年間!$C$1,4,1)-WEEKDAY(DATE(年間!$C$1,4,1))+19))=4,DAY((DATE(年間!$C$1,4,1)-WEEKDAY(DATE(年間!$C$1,4,1))+19)),"")</f>
        <v>15</v>
      </c>
      <c r="F7" s="9">
        <f>IF(MONTH((DATE(年間!$C$1,4,1)-WEEKDAY(DATE(年間!$C$1,4,1))+20))=4,DAY((DATE(年間!$C$1,4,1)-WEEKDAY(DATE(年間!$C$1,4,1))+20)),"")</f>
        <v>16</v>
      </c>
      <c r="G7" s="9">
        <f>IF(MONTH((DATE(年間!$C$1,4,1)-WEEKDAY(DATE(年間!$C$1,4,1))+21))=4,DAY((DATE(年間!$C$1,4,1)-WEEKDAY(DATE(年間!$C$1,4,1))+21)),"")</f>
        <v>17</v>
      </c>
    </row>
    <row r="8" spans="1:7" ht="50" customHeight="1" x14ac:dyDescent="0.2">
      <c r="A8" s="10" t="str">
        <f>IF(MONTH((DATE(年間!$C$1,4,1)-WEEKDAY(DATE(年間!$C$1,4,1))+15))=4,IFERROR(VLOOKUP((DATE(年間!$C$1,4,1)-WEEKDAY(DATE(年間!$C$1,4,1))+15),祝日!$A$2:$B$75,2,FALSE),""),"")</f>
        <v/>
      </c>
      <c r="B8" s="10" t="str">
        <f>IF(MONTH((DATE(年間!$C$1,4,1)-WEEKDAY(DATE(年間!$C$1,4,1))+16))=4,IFERROR(VLOOKUP((DATE(年間!$C$1,4,1)-WEEKDAY(DATE(年間!$C$1,4,1))+16),祝日!$A$2:$B$75,2,FALSE),""),"")</f>
        <v/>
      </c>
      <c r="C8" s="10" t="str">
        <f>IF(MONTH((DATE(年間!$C$1,4,1)-WEEKDAY(DATE(年間!$C$1,4,1))+17))=4,IFERROR(VLOOKUP((DATE(年間!$C$1,4,1)-WEEKDAY(DATE(年間!$C$1,4,1))+17),祝日!$A$2:$B$75,2,FALSE),""),"")</f>
        <v/>
      </c>
      <c r="D8" s="10" t="str">
        <f>IF(MONTH((DATE(年間!$C$1,4,1)-WEEKDAY(DATE(年間!$C$1,4,1))+18))=4,IFERROR(VLOOKUP((DATE(年間!$C$1,4,1)-WEEKDAY(DATE(年間!$C$1,4,1))+18),祝日!$A$2:$B$75,2,FALSE),""),"")</f>
        <v/>
      </c>
      <c r="E8" s="10" t="str">
        <f>IF(MONTH((DATE(年間!$C$1,4,1)-WEEKDAY(DATE(年間!$C$1,4,1))+19))=4,IFERROR(VLOOKUP((DATE(年間!$C$1,4,1)-WEEKDAY(DATE(年間!$C$1,4,1))+19),祝日!$A$2:$B$75,2,FALSE),""),"")</f>
        <v/>
      </c>
      <c r="F8" s="10" t="str">
        <f>IF(MONTH((DATE(年間!$C$1,4,1)-WEEKDAY(DATE(年間!$C$1,4,1))+20))=4,IFERROR(VLOOKUP((DATE(年間!$C$1,4,1)-WEEKDAY(DATE(年間!$C$1,4,1))+20),祝日!$A$2:$B$75,2,FALSE),""),"")</f>
        <v/>
      </c>
      <c r="G8" s="10" t="str">
        <f>IF(MONTH((DATE(年間!$C$1,4,1)-WEEKDAY(DATE(年間!$C$1,4,1))+21))=4,IFERROR(VLOOKUP((DATE(年間!$C$1,4,1)-WEEKDAY(DATE(年間!$C$1,4,1))+21),祝日!$A$2:$B$75,2,FALSE),""),"")</f>
        <v/>
      </c>
    </row>
    <row r="9" spans="1:7" ht="26" customHeight="1" x14ac:dyDescent="0.2">
      <c r="A9" s="9">
        <f>IF(MONTH((DATE(年間!$C$1,4,1)-WEEKDAY(DATE(年間!$C$1,4,1))+22))=4,DAY((DATE(年間!$C$1,4,1)-WEEKDAY(DATE(年間!$C$1,4,1))+22)),"")</f>
        <v>18</v>
      </c>
      <c r="B9" s="9">
        <f>IF(MONTH((DATE(年間!$C$1,4,1)-WEEKDAY(DATE(年間!$C$1,4,1))+23))=4,DAY((DATE(年間!$C$1,4,1)-WEEKDAY(DATE(年間!$C$1,4,1))+23)),"")</f>
        <v>19</v>
      </c>
      <c r="C9" s="9">
        <f>IF(MONTH((DATE(年間!$C$1,4,1)-WEEKDAY(DATE(年間!$C$1,4,1))+24))=4,DAY((DATE(年間!$C$1,4,1)-WEEKDAY(DATE(年間!$C$1,4,1))+24)),"")</f>
        <v>20</v>
      </c>
      <c r="D9" s="9">
        <f>IF(MONTH((DATE(年間!$C$1,4,1)-WEEKDAY(DATE(年間!$C$1,4,1))+25))=4,DAY((DATE(年間!$C$1,4,1)-WEEKDAY(DATE(年間!$C$1,4,1))+25)),"")</f>
        <v>21</v>
      </c>
      <c r="E9" s="9">
        <f>IF(MONTH((DATE(年間!$C$1,4,1)-WEEKDAY(DATE(年間!$C$1,4,1))+26))=4,DAY((DATE(年間!$C$1,4,1)-WEEKDAY(DATE(年間!$C$1,4,1))+26)),"")</f>
        <v>22</v>
      </c>
      <c r="F9" s="9">
        <f>IF(MONTH((DATE(年間!$C$1,4,1)-WEEKDAY(DATE(年間!$C$1,4,1))+27))=4,DAY((DATE(年間!$C$1,4,1)-WEEKDAY(DATE(年間!$C$1,4,1))+27)),"")</f>
        <v>23</v>
      </c>
      <c r="G9" s="9">
        <f>IF(MONTH((DATE(年間!$C$1,4,1)-WEEKDAY(DATE(年間!$C$1,4,1))+28))=4,DAY((DATE(年間!$C$1,4,1)-WEEKDAY(DATE(年間!$C$1,4,1))+28)),"")</f>
        <v>24</v>
      </c>
    </row>
    <row r="10" spans="1:7" ht="50" customHeight="1" x14ac:dyDescent="0.2">
      <c r="A10" s="10" t="str">
        <f>IF(MONTH((DATE(年間!$C$1,4,1)-WEEKDAY(DATE(年間!$C$1,4,1))+22))=4,IFERROR(VLOOKUP((DATE(年間!$C$1,4,1)-WEEKDAY(DATE(年間!$C$1,4,1))+22),祝日!$A$2:$B$75,2,FALSE),""),"")</f>
        <v/>
      </c>
      <c r="B10" s="10" t="str">
        <f>IF(MONTH((DATE(年間!$C$1,4,1)-WEEKDAY(DATE(年間!$C$1,4,1))+23))=4,IFERROR(VLOOKUP((DATE(年間!$C$1,4,1)-WEEKDAY(DATE(年間!$C$1,4,1))+23),祝日!$A$2:$B$75,2,FALSE),""),"")</f>
        <v/>
      </c>
      <c r="C10" s="10" t="str">
        <f>IF(MONTH((DATE(年間!$C$1,4,1)-WEEKDAY(DATE(年間!$C$1,4,1))+24))=4,IFERROR(VLOOKUP((DATE(年間!$C$1,4,1)-WEEKDAY(DATE(年間!$C$1,4,1))+24),祝日!$A$2:$B$75,2,FALSE),""),"")</f>
        <v/>
      </c>
      <c r="D10" s="10" t="str">
        <f>IF(MONTH((DATE(年間!$C$1,4,1)-WEEKDAY(DATE(年間!$C$1,4,1))+25))=4,IFERROR(VLOOKUP((DATE(年間!$C$1,4,1)-WEEKDAY(DATE(年間!$C$1,4,1))+25),祝日!$A$2:$B$75,2,FALSE),""),"")</f>
        <v/>
      </c>
      <c r="E10" s="10" t="str">
        <f>IF(MONTH((DATE(年間!$C$1,4,1)-WEEKDAY(DATE(年間!$C$1,4,1))+26))=4,IFERROR(VLOOKUP((DATE(年間!$C$1,4,1)-WEEKDAY(DATE(年間!$C$1,4,1))+26),祝日!$A$2:$B$75,2,FALSE),""),"")</f>
        <v/>
      </c>
      <c r="F10" s="10" t="str">
        <f>IF(MONTH((DATE(年間!$C$1,4,1)-WEEKDAY(DATE(年間!$C$1,4,1))+27))=4,IFERROR(VLOOKUP((DATE(年間!$C$1,4,1)-WEEKDAY(DATE(年間!$C$1,4,1))+27),祝日!$A$2:$B$75,2,FALSE),""),"")</f>
        <v/>
      </c>
      <c r="G10" s="10" t="str">
        <f>IF(MONTH((DATE(年間!$C$1,4,1)-WEEKDAY(DATE(年間!$C$1,4,1))+28))=4,IFERROR(VLOOKUP((DATE(年間!$C$1,4,1)-WEEKDAY(DATE(年間!$C$1,4,1))+28),祝日!$A$2:$B$75,2,FALSE),""),"")</f>
        <v/>
      </c>
    </row>
    <row r="11" spans="1:7" ht="26" customHeight="1" x14ac:dyDescent="0.2">
      <c r="A11" s="9">
        <f>IF(MONTH((DATE(年間!$C$1,4,1)-WEEKDAY(DATE(年間!$C$1,4,1))+29))=4,DAY((DATE(年間!$C$1,4,1)-WEEKDAY(DATE(年間!$C$1,4,1))+29)),"")</f>
        <v>25</v>
      </c>
      <c r="B11" s="9">
        <f>IF(MONTH((DATE(年間!$C$1,4,1)-WEEKDAY(DATE(年間!$C$1,4,1))+30))=4,DAY((DATE(年間!$C$1,4,1)-WEEKDAY(DATE(年間!$C$1,4,1))+30)),"")</f>
        <v>26</v>
      </c>
      <c r="C11" s="9">
        <f>IF(MONTH((DATE(年間!$C$1,4,1)-WEEKDAY(DATE(年間!$C$1,4,1))+31))=4,DAY((DATE(年間!$C$1,4,1)-WEEKDAY(DATE(年間!$C$1,4,1))+31)),"")</f>
        <v>27</v>
      </c>
      <c r="D11" s="9">
        <f>IF(MONTH((DATE(年間!$C$1,4,1)-WEEKDAY(DATE(年間!$C$1,4,1))+32))=4,DAY((DATE(年間!$C$1,4,1)-WEEKDAY(DATE(年間!$C$1,4,1))+32)),"")</f>
        <v>28</v>
      </c>
      <c r="E11" s="9">
        <f>IF(MONTH((DATE(年間!$C$1,4,1)-WEEKDAY(DATE(年間!$C$1,4,1))+33))=4,DAY((DATE(年間!$C$1,4,1)-WEEKDAY(DATE(年間!$C$1,4,1))+33)),"")</f>
        <v>29</v>
      </c>
      <c r="F11" s="9">
        <f>IF(MONTH((DATE(年間!$C$1,4,1)-WEEKDAY(DATE(年間!$C$1,4,1))+34))=4,DAY((DATE(年間!$C$1,4,1)-WEEKDAY(DATE(年間!$C$1,4,1))+34)),"")</f>
        <v>30</v>
      </c>
      <c r="G11" s="9" t="str">
        <f>IF(MONTH((DATE(年間!$C$1,4,1)-WEEKDAY(DATE(年間!$C$1,4,1))+35))=4,DAY((DATE(年間!$C$1,4,1)-WEEKDAY(DATE(年間!$C$1,4,1))+35)),"")</f>
        <v/>
      </c>
    </row>
    <row r="12" spans="1:7" ht="50" customHeight="1" x14ac:dyDescent="0.2">
      <c r="A12" s="10" t="str">
        <f>IF(MONTH((DATE(年間!$C$1,4,1)-WEEKDAY(DATE(年間!$C$1,4,1))+29))=4,IFERROR(VLOOKUP((DATE(年間!$C$1,4,1)-WEEKDAY(DATE(年間!$C$1,4,1))+29),祝日!$A$2:$B$75,2,FALSE),""),"")</f>
        <v/>
      </c>
      <c r="B12" s="10" t="str">
        <f>IF(MONTH((DATE(年間!$C$1,4,1)-WEEKDAY(DATE(年間!$C$1,4,1))+30))=4,IFERROR(VLOOKUP((DATE(年間!$C$1,4,1)-WEEKDAY(DATE(年間!$C$1,4,1))+30),祝日!$A$2:$B$75,2,FALSE),""),"")</f>
        <v/>
      </c>
      <c r="C12" s="10" t="str">
        <f>IF(MONTH((DATE(年間!$C$1,4,1)-WEEKDAY(DATE(年間!$C$1,4,1))+31))=4,IFERROR(VLOOKUP((DATE(年間!$C$1,4,1)-WEEKDAY(DATE(年間!$C$1,4,1))+31),祝日!$A$2:$B$75,2,FALSE),""),"")</f>
        <v/>
      </c>
      <c r="D12" s="10" t="str">
        <f>IF(MONTH((DATE(年間!$C$1,4,1)-WEEKDAY(DATE(年間!$C$1,4,1))+32))=4,IFERROR(VLOOKUP((DATE(年間!$C$1,4,1)-WEEKDAY(DATE(年間!$C$1,4,1))+32),祝日!$A$2:$B$75,2,FALSE),""),"")</f>
        <v/>
      </c>
      <c r="E12" s="10" t="str">
        <f>IF(MONTH((DATE(年間!$C$1,4,1)-WEEKDAY(DATE(年間!$C$1,4,1))+33))=4,IFERROR(VLOOKUP((DATE(年間!$C$1,4,1)-WEEKDAY(DATE(年間!$C$1,4,1))+33),祝日!$A$2:$B$75,2,FALSE),""),"")</f>
        <v>昭和の日</v>
      </c>
      <c r="F12" s="10" t="str">
        <f>IF(MONTH((DATE(年間!$C$1,4,1)-WEEKDAY(DATE(年間!$C$1,4,1))+34))=4,IFERROR(VLOOKUP((DATE(年間!$C$1,4,1)-WEEKDAY(DATE(年間!$C$1,4,1))+34),祝日!$A$2:$B$75,2,FALSE),""),"")</f>
        <v/>
      </c>
      <c r="G12" s="10" t="str">
        <f>IF(MONTH((DATE(年間!$C$1,4,1)-WEEKDAY(DATE(年間!$C$1,4,1))+35))=4,IFERROR(VLOOKUP((DATE(年間!$C$1,4,1)-WEEKDAY(DATE(年間!$C$1,4,1))+35),祝日!$A$2:$B$75,2,FALSE),""),"")</f>
        <v/>
      </c>
    </row>
    <row r="13" spans="1:7" ht="26" customHeight="1" x14ac:dyDescent="0.2">
      <c r="A13" s="9" t="str">
        <f>IF(MONTH((DATE(年間!$C$1,4,1)-WEEKDAY(DATE(年間!$C$1,4,1))+36))=4,DAY((DATE(年間!$C$1,4,1)-WEEKDAY(DATE(年間!$C$1,4,1))+36)),"")</f>
        <v/>
      </c>
      <c r="B13" s="9" t="str">
        <f>IF(MONTH((DATE(年間!$C$1,4,1)-WEEKDAY(DATE(年間!$C$1,4,1))+37))=4,DAY((DATE(年間!$C$1,4,1)-WEEKDAY(DATE(年間!$C$1,4,1))+37)),"")</f>
        <v/>
      </c>
      <c r="C13" s="9" t="str">
        <f>IF(MONTH((DATE(年間!$C$1,4,1)-WEEKDAY(DATE(年間!$C$1,4,1))+38))=4,DAY((DATE(年間!$C$1,4,1)-WEEKDAY(DATE(年間!$C$1,4,1))+38)),"")</f>
        <v/>
      </c>
      <c r="D13" s="9" t="str">
        <f>IF(MONTH((DATE(年間!$C$1,4,1)-WEEKDAY(DATE(年間!$C$1,4,1))+39))=4,DAY((DATE(年間!$C$1,4,1)-WEEKDAY(DATE(年間!$C$1,4,1))+39)),"")</f>
        <v/>
      </c>
      <c r="E13" s="9" t="str">
        <f>IF(MONTH((DATE(年間!$C$1,4,1)-WEEKDAY(DATE(年間!$C$1,4,1))+40))=4,DAY((DATE(年間!$C$1,4,1)-WEEKDAY(DATE(年間!$C$1,4,1))+40)),"")</f>
        <v/>
      </c>
      <c r="F13" s="9" t="str">
        <f>IF(MONTH((DATE(年間!$C$1,4,1)-WEEKDAY(DATE(年間!$C$1,4,1))+41))=4,DAY((DATE(年間!$C$1,4,1)-WEEKDAY(DATE(年間!$C$1,4,1))+41)),"")</f>
        <v/>
      </c>
      <c r="G13" s="9" t="str">
        <f>IF(MONTH((DATE(年間!$C$1,4,1)-WEEKDAY(DATE(年間!$C$1,4,1))+42))=4,DAY((DATE(年間!$C$1,4,1)-WEEKDAY(DATE(年間!$C$1,4,1))+42)),"")</f>
        <v/>
      </c>
    </row>
    <row r="14" spans="1:7" ht="50" customHeight="1" x14ac:dyDescent="0.2">
      <c r="A14" s="10" t="str">
        <f>IF(MONTH((DATE(年間!$C$1,4,1)-WEEKDAY(DATE(年間!$C$1,4,1))+36))=4,IFERROR(VLOOKUP((DATE(年間!$C$1,4,1)-WEEKDAY(DATE(年間!$C$1,4,1))+36),祝日!$A$2:$B$75,2,FALSE),""),"")</f>
        <v/>
      </c>
      <c r="B14" s="10" t="str">
        <f>IF(MONTH((DATE(年間!$C$1,4,1)-WEEKDAY(DATE(年間!$C$1,4,1))+37))=4,IFERROR(VLOOKUP((DATE(年間!$C$1,4,1)-WEEKDAY(DATE(年間!$C$1,4,1))+37),祝日!$A$2:$B$75,2,FALSE),""),"")</f>
        <v/>
      </c>
      <c r="C14" s="10" t="str">
        <f>IF(MONTH((DATE(年間!$C$1,4,1)-WEEKDAY(DATE(年間!$C$1,4,1))+38))=4,IFERROR(VLOOKUP((DATE(年間!$C$1,4,1)-WEEKDAY(DATE(年間!$C$1,4,1))+38),祝日!$A$2:$B$75,2,FALSE),""),"")</f>
        <v/>
      </c>
      <c r="D14" s="10" t="str">
        <f>IF(MONTH((DATE(年間!$C$1,4,1)-WEEKDAY(DATE(年間!$C$1,4,1))+39))=4,IFERROR(VLOOKUP((DATE(年間!$C$1,4,1)-WEEKDAY(DATE(年間!$C$1,4,1))+39),祝日!$A$2:$B$75,2,FALSE),""),"")</f>
        <v/>
      </c>
      <c r="E14" s="10" t="str">
        <f>IF(MONTH((DATE(年間!$C$1,4,1)-WEEKDAY(DATE(年間!$C$1,4,1))+40))=4,IFERROR(VLOOKUP((DATE(年間!$C$1,4,1)-WEEKDAY(DATE(年間!$C$1,4,1))+40),祝日!$A$2:$B$75,2,FALSE),""),"")</f>
        <v/>
      </c>
      <c r="F14" s="10" t="str">
        <f>IF(MONTH((DATE(年間!$C$1,4,1)-WEEKDAY(DATE(年間!$C$1,4,1))+41))=4,IFERROR(VLOOKUP((DATE(年間!$C$1,4,1)-WEEKDAY(DATE(年間!$C$1,4,1))+41),祝日!$A$2:$B$75,2,FALSE),""),"")</f>
        <v/>
      </c>
      <c r="G14" s="10" t="str">
        <f>IF(MONTH((DATE(年間!$C$1,4,1)-WEEKDAY(DATE(年間!$C$1,4,1))+42))=4,IFERROR(VLOOKUP((DATE(年間!$C$1,4,1)-WEEKDAY(DATE(年間!$C$1,4,1))+42),祝日!$A$2:$B$75,2,FALSE),""),"")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17" priority="1">
      <formula>AND(A3&lt;&gt;"",OR(COLUMN(A3)=1,A4&lt;&gt;""))</formula>
    </cfRule>
  </conditionalFormatting>
  <conditionalFormatting sqref="G3 G5 G7 G9 G11 G13">
    <cfRule type="expression" dxfId="16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5月"</f>
        <v>2027年 5月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IF(MONTH((DATE(年間!$C$1,5,1)-WEEKDAY(DATE(年間!$C$1,5,1))+1))=5,DAY((DATE(年間!$C$1,5,1)-WEEKDAY(DATE(年間!$C$1,5,1))+1)),"")</f>
        <v/>
      </c>
      <c r="B3" s="9" t="str">
        <f>IF(MONTH((DATE(年間!$C$1,5,1)-WEEKDAY(DATE(年間!$C$1,5,1))+2))=5,DAY((DATE(年間!$C$1,5,1)-WEEKDAY(DATE(年間!$C$1,5,1))+2)),"")</f>
        <v/>
      </c>
      <c r="C3" s="9" t="str">
        <f>IF(MONTH((DATE(年間!$C$1,5,1)-WEEKDAY(DATE(年間!$C$1,5,1))+3))=5,DAY((DATE(年間!$C$1,5,1)-WEEKDAY(DATE(年間!$C$1,5,1))+3)),"")</f>
        <v/>
      </c>
      <c r="D3" s="9" t="str">
        <f>IF(MONTH((DATE(年間!$C$1,5,1)-WEEKDAY(DATE(年間!$C$1,5,1))+4))=5,DAY((DATE(年間!$C$1,5,1)-WEEKDAY(DATE(年間!$C$1,5,1))+4)),"")</f>
        <v/>
      </c>
      <c r="E3" s="9" t="str">
        <f>IF(MONTH((DATE(年間!$C$1,5,1)-WEEKDAY(DATE(年間!$C$1,5,1))+5))=5,DAY((DATE(年間!$C$1,5,1)-WEEKDAY(DATE(年間!$C$1,5,1))+5)),"")</f>
        <v/>
      </c>
      <c r="F3" s="9" t="str">
        <f>IF(MONTH((DATE(年間!$C$1,5,1)-WEEKDAY(DATE(年間!$C$1,5,1))+6))=5,DAY((DATE(年間!$C$1,5,1)-WEEKDAY(DATE(年間!$C$1,5,1))+6)),"")</f>
        <v/>
      </c>
      <c r="G3" s="9">
        <f>IF(MONTH((DATE(年間!$C$1,5,1)-WEEKDAY(DATE(年間!$C$1,5,1))+7))=5,DAY((DATE(年間!$C$1,5,1)-WEEKDAY(DATE(年間!$C$1,5,1))+7)),"")</f>
        <v>1</v>
      </c>
    </row>
    <row r="4" spans="1:7" ht="50" customHeight="1" x14ac:dyDescent="0.2">
      <c r="A4" s="10" t="str">
        <f>IF(MONTH((DATE(年間!$C$1,5,1)-WEEKDAY(DATE(年間!$C$1,5,1))+1))=5,IFERROR(VLOOKUP((DATE(年間!$C$1,5,1)-WEEKDAY(DATE(年間!$C$1,5,1))+1),祝日!$A$2:$B$75,2,FALSE),""),"")</f>
        <v/>
      </c>
      <c r="B4" s="10" t="str">
        <f>IF(MONTH((DATE(年間!$C$1,5,1)-WEEKDAY(DATE(年間!$C$1,5,1))+2))=5,IFERROR(VLOOKUP((DATE(年間!$C$1,5,1)-WEEKDAY(DATE(年間!$C$1,5,1))+2),祝日!$A$2:$B$75,2,FALSE),""),"")</f>
        <v/>
      </c>
      <c r="C4" s="10" t="str">
        <f>IF(MONTH((DATE(年間!$C$1,5,1)-WEEKDAY(DATE(年間!$C$1,5,1))+3))=5,IFERROR(VLOOKUP((DATE(年間!$C$1,5,1)-WEEKDAY(DATE(年間!$C$1,5,1))+3),祝日!$A$2:$B$75,2,FALSE),""),"")</f>
        <v/>
      </c>
      <c r="D4" s="10" t="str">
        <f>IF(MONTH((DATE(年間!$C$1,5,1)-WEEKDAY(DATE(年間!$C$1,5,1))+4))=5,IFERROR(VLOOKUP((DATE(年間!$C$1,5,1)-WEEKDAY(DATE(年間!$C$1,5,1))+4),祝日!$A$2:$B$75,2,FALSE),""),"")</f>
        <v/>
      </c>
      <c r="E4" s="10" t="str">
        <f>IF(MONTH((DATE(年間!$C$1,5,1)-WEEKDAY(DATE(年間!$C$1,5,1))+5))=5,IFERROR(VLOOKUP((DATE(年間!$C$1,5,1)-WEEKDAY(DATE(年間!$C$1,5,1))+5),祝日!$A$2:$B$75,2,FALSE),""),"")</f>
        <v/>
      </c>
      <c r="F4" s="10" t="str">
        <f>IF(MONTH((DATE(年間!$C$1,5,1)-WEEKDAY(DATE(年間!$C$1,5,1))+6))=5,IFERROR(VLOOKUP((DATE(年間!$C$1,5,1)-WEEKDAY(DATE(年間!$C$1,5,1))+6),祝日!$A$2:$B$75,2,FALSE),""),"")</f>
        <v/>
      </c>
      <c r="G4" s="10" t="str">
        <f>IF(MONTH((DATE(年間!$C$1,5,1)-WEEKDAY(DATE(年間!$C$1,5,1))+7))=5,IFERROR(VLOOKUP((DATE(年間!$C$1,5,1)-WEEKDAY(DATE(年間!$C$1,5,1))+7),祝日!$A$2:$B$75,2,FALSE),""),"")</f>
        <v/>
      </c>
    </row>
    <row r="5" spans="1:7" ht="26" customHeight="1" x14ac:dyDescent="0.2">
      <c r="A5" s="9">
        <f>IF(MONTH((DATE(年間!$C$1,5,1)-WEEKDAY(DATE(年間!$C$1,5,1))+8))=5,DAY((DATE(年間!$C$1,5,1)-WEEKDAY(DATE(年間!$C$1,5,1))+8)),"")</f>
        <v>2</v>
      </c>
      <c r="B5" s="9">
        <f>IF(MONTH((DATE(年間!$C$1,5,1)-WEEKDAY(DATE(年間!$C$1,5,1))+9))=5,DAY((DATE(年間!$C$1,5,1)-WEEKDAY(DATE(年間!$C$1,5,1))+9)),"")</f>
        <v>3</v>
      </c>
      <c r="C5" s="9">
        <f>IF(MONTH((DATE(年間!$C$1,5,1)-WEEKDAY(DATE(年間!$C$1,5,1))+10))=5,DAY((DATE(年間!$C$1,5,1)-WEEKDAY(DATE(年間!$C$1,5,1))+10)),"")</f>
        <v>4</v>
      </c>
      <c r="D5" s="9">
        <f>IF(MONTH((DATE(年間!$C$1,5,1)-WEEKDAY(DATE(年間!$C$1,5,1))+11))=5,DAY((DATE(年間!$C$1,5,1)-WEEKDAY(DATE(年間!$C$1,5,1))+11)),"")</f>
        <v>5</v>
      </c>
      <c r="E5" s="9">
        <f>IF(MONTH((DATE(年間!$C$1,5,1)-WEEKDAY(DATE(年間!$C$1,5,1))+12))=5,DAY((DATE(年間!$C$1,5,1)-WEEKDAY(DATE(年間!$C$1,5,1))+12)),"")</f>
        <v>6</v>
      </c>
      <c r="F5" s="9">
        <f>IF(MONTH((DATE(年間!$C$1,5,1)-WEEKDAY(DATE(年間!$C$1,5,1))+13))=5,DAY((DATE(年間!$C$1,5,1)-WEEKDAY(DATE(年間!$C$1,5,1))+13)),"")</f>
        <v>7</v>
      </c>
      <c r="G5" s="9">
        <f>IF(MONTH((DATE(年間!$C$1,5,1)-WEEKDAY(DATE(年間!$C$1,5,1))+14))=5,DAY((DATE(年間!$C$1,5,1)-WEEKDAY(DATE(年間!$C$1,5,1))+14)),"")</f>
        <v>8</v>
      </c>
    </row>
    <row r="6" spans="1:7" ht="50" customHeight="1" x14ac:dyDescent="0.2">
      <c r="A6" s="10" t="str">
        <f>IF(MONTH((DATE(年間!$C$1,5,1)-WEEKDAY(DATE(年間!$C$1,5,1))+8))=5,IFERROR(VLOOKUP((DATE(年間!$C$1,5,1)-WEEKDAY(DATE(年間!$C$1,5,1))+8),祝日!$A$2:$B$75,2,FALSE),""),"")</f>
        <v/>
      </c>
      <c r="B6" s="10" t="str">
        <f>IF(MONTH((DATE(年間!$C$1,5,1)-WEEKDAY(DATE(年間!$C$1,5,1))+9))=5,IFERROR(VLOOKUP((DATE(年間!$C$1,5,1)-WEEKDAY(DATE(年間!$C$1,5,1))+9),祝日!$A$2:$B$75,2,FALSE),""),"")</f>
        <v>憲法記念日</v>
      </c>
      <c r="C6" s="10" t="str">
        <f>IF(MONTH((DATE(年間!$C$1,5,1)-WEEKDAY(DATE(年間!$C$1,5,1))+10))=5,IFERROR(VLOOKUP((DATE(年間!$C$1,5,1)-WEEKDAY(DATE(年間!$C$1,5,1))+10),祝日!$A$2:$B$75,2,FALSE),""),"")</f>
        <v>みどりの日</v>
      </c>
      <c r="D6" s="10" t="str">
        <f>IF(MONTH((DATE(年間!$C$1,5,1)-WEEKDAY(DATE(年間!$C$1,5,1))+11))=5,IFERROR(VLOOKUP((DATE(年間!$C$1,5,1)-WEEKDAY(DATE(年間!$C$1,5,1))+11),祝日!$A$2:$B$75,2,FALSE),""),"")</f>
        <v>こどもの日</v>
      </c>
      <c r="E6" s="10" t="str">
        <f>IF(MONTH((DATE(年間!$C$1,5,1)-WEEKDAY(DATE(年間!$C$1,5,1))+12))=5,IFERROR(VLOOKUP((DATE(年間!$C$1,5,1)-WEEKDAY(DATE(年間!$C$1,5,1))+12),祝日!$A$2:$B$75,2,FALSE),""),"")</f>
        <v/>
      </c>
      <c r="F6" s="10" t="str">
        <f>IF(MONTH((DATE(年間!$C$1,5,1)-WEEKDAY(DATE(年間!$C$1,5,1))+13))=5,IFERROR(VLOOKUP((DATE(年間!$C$1,5,1)-WEEKDAY(DATE(年間!$C$1,5,1))+13),祝日!$A$2:$B$75,2,FALSE),""),"")</f>
        <v/>
      </c>
      <c r="G6" s="10" t="str">
        <f>IF(MONTH((DATE(年間!$C$1,5,1)-WEEKDAY(DATE(年間!$C$1,5,1))+14))=5,IFERROR(VLOOKUP((DATE(年間!$C$1,5,1)-WEEKDAY(DATE(年間!$C$1,5,1))+14),祝日!$A$2:$B$75,2,FALSE),""),"")</f>
        <v/>
      </c>
    </row>
    <row r="7" spans="1:7" ht="26" customHeight="1" x14ac:dyDescent="0.2">
      <c r="A7" s="9">
        <f>IF(MONTH((DATE(年間!$C$1,5,1)-WEEKDAY(DATE(年間!$C$1,5,1))+15))=5,DAY((DATE(年間!$C$1,5,1)-WEEKDAY(DATE(年間!$C$1,5,1))+15)),"")</f>
        <v>9</v>
      </c>
      <c r="B7" s="9">
        <f>IF(MONTH((DATE(年間!$C$1,5,1)-WEEKDAY(DATE(年間!$C$1,5,1))+16))=5,DAY((DATE(年間!$C$1,5,1)-WEEKDAY(DATE(年間!$C$1,5,1))+16)),"")</f>
        <v>10</v>
      </c>
      <c r="C7" s="9">
        <f>IF(MONTH((DATE(年間!$C$1,5,1)-WEEKDAY(DATE(年間!$C$1,5,1))+17))=5,DAY((DATE(年間!$C$1,5,1)-WEEKDAY(DATE(年間!$C$1,5,1))+17)),"")</f>
        <v>11</v>
      </c>
      <c r="D7" s="9">
        <f>IF(MONTH((DATE(年間!$C$1,5,1)-WEEKDAY(DATE(年間!$C$1,5,1))+18))=5,DAY((DATE(年間!$C$1,5,1)-WEEKDAY(DATE(年間!$C$1,5,1))+18)),"")</f>
        <v>12</v>
      </c>
      <c r="E7" s="9">
        <f>IF(MONTH((DATE(年間!$C$1,5,1)-WEEKDAY(DATE(年間!$C$1,5,1))+19))=5,DAY((DATE(年間!$C$1,5,1)-WEEKDAY(DATE(年間!$C$1,5,1))+19)),"")</f>
        <v>13</v>
      </c>
      <c r="F7" s="9">
        <f>IF(MONTH((DATE(年間!$C$1,5,1)-WEEKDAY(DATE(年間!$C$1,5,1))+20))=5,DAY((DATE(年間!$C$1,5,1)-WEEKDAY(DATE(年間!$C$1,5,1))+20)),"")</f>
        <v>14</v>
      </c>
      <c r="G7" s="9">
        <f>IF(MONTH((DATE(年間!$C$1,5,1)-WEEKDAY(DATE(年間!$C$1,5,1))+21))=5,DAY((DATE(年間!$C$1,5,1)-WEEKDAY(DATE(年間!$C$1,5,1))+21)),"")</f>
        <v>15</v>
      </c>
    </row>
    <row r="8" spans="1:7" ht="50" customHeight="1" x14ac:dyDescent="0.2">
      <c r="A8" s="10" t="str">
        <f>IF(MONTH((DATE(年間!$C$1,5,1)-WEEKDAY(DATE(年間!$C$1,5,1))+15))=5,IFERROR(VLOOKUP((DATE(年間!$C$1,5,1)-WEEKDAY(DATE(年間!$C$1,5,1))+15),祝日!$A$2:$B$75,2,FALSE),""),"")</f>
        <v/>
      </c>
      <c r="B8" s="10" t="str">
        <f>IF(MONTH((DATE(年間!$C$1,5,1)-WEEKDAY(DATE(年間!$C$1,5,1))+16))=5,IFERROR(VLOOKUP((DATE(年間!$C$1,5,1)-WEEKDAY(DATE(年間!$C$1,5,1))+16),祝日!$A$2:$B$75,2,FALSE),""),"")</f>
        <v/>
      </c>
      <c r="C8" s="10" t="str">
        <f>IF(MONTH((DATE(年間!$C$1,5,1)-WEEKDAY(DATE(年間!$C$1,5,1))+17))=5,IFERROR(VLOOKUP((DATE(年間!$C$1,5,1)-WEEKDAY(DATE(年間!$C$1,5,1))+17),祝日!$A$2:$B$75,2,FALSE),""),"")</f>
        <v/>
      </c>
      <c r="D8" s="10" t="str">
        <f>IF(MONTH((DATE(年間!$C$1,5,1)-WEEKDAY(DATE(年間!$C$1,5,1))+18))=5,IFERROR(VLOOKUP((DATE(年間!$C$1,5,1)-WEEKDAY(DATE(年間!$C$1,5,1))+18),祝日!$A$2:$B$75,2,FALSE),""),"")</f>
        <v/>
      </c>
      <c r="E8" s="10" t="str">
        <f>IF(MONTH((DATE(年間!$C$1,5,1)-WEEKDAY(DATE(年間!$C$1,5,1))+19))=5,IFERROR(VLOOKUP((DATE(年間!$C$1,5,1)-WEEKDAY(DATE(年間!$C$1,5,1))+19),祝日!$A$2:$B$75,2,FALSE),""),"")</f>
        <v/>
      </c>
      <c r="F8" s="10" t="str">
        <f>IF(MONTH((DATE(年間!$C$1,5,1)-WEEKDAY(DATE(年間!$C$1,5,1))+20))=5,IFERROR(VLOOKUP((DATE(年間!$C$1,5,1)-WEEKDAY(DATE(年間!$C$1,5,1))+20),祝日!$A$2:$B$75,2,FALSE),""),"")</f>
        <v/>
      </c>
      <c r="G8" s="10" t="str">
        <f>IF(MONTH((DATE(年間!$C$1,5,1)-WEEKDAY(DATE(年間!$C$1,5,1))+21))=5,IFERROR(VLOOKUP((DATE(年間!$C$1,5,1)-WEEKDAY(DATE(年間!$C$1,5,1))+21),祝日!$A$2:$B$75,2,FALSE),""),"")</f>
        <v/>
      </c>
    </row>
    <row r="9" spans="1:7" ht="26" customHeight="1" x14ac:dyDescent="0.2">
      <c r="A9" s="9">
        <f>IF(MONTH((DATE(年間!$C$1,5,1)-WEEKDAY(DATE(年間!$C$1,5,1))+22))=5,DAY((DATE(年間!$C$1,5,1)-WEEKDAY(DATE(年間!$C$1,5,1))+22)),"")</f>
        <v>16</v>
      </c>
      <c r="B9" s="9">
        <f>IF(MONTH((DATE(年間!$C$1,5,1)-WEEKDAY(DATE(年間!$C$1,5,1))+23))=5,DAY((DATE(年間!$C$1,5,1)-WEEKDAY(DATE(年間!$C$1,5,1))+23)),"")</f>
        <v>17</v>
      </c>
      <c r="C9" s="9">
        <f>IF(MONTH((DATE(年間!$C$1,5,1)-WEEKDAY(DATE(年間!$C$1,5,1))+24))=5,DAY((DATE(年間!$C$1,5,1)-WEEKDAY(DATE(年間!$C$1,5,1))+24)),"")</f>
        <v>18</v>
      </c>
      <c r="D9" s="9">
        <f>IF(MONTH((DATE(年間!$C$1,5,1)-WEEKDAY(DATE(年間!$C$1,5,1))+25))=5,DAY((DATE(年間!$C$1,5,1)-WEEKDAY(DATE(年間!$C$1,5,1))+25)),"")</f>
        <v>19</v>
      </c>
      <c r="E9" s="9">
        <f>IF(MONTH((DATE(年間!$C$1,5,1)-WEEKDAY(DATE(年間!$C$1,5,1))+26))=5,DAY((DATE(年間!$C$1,5,1)-WEEKDAY(DATE(年間!$C$1,5,1))+26)),"")</f>
        <v>20</v>
      </c>
      <c r="F9" s="9">
        <f>IF(MONTH((DATE(年間!$C$1,5,1)-WEEKDAY(DATE(年間!$C$1,5,1))+27))=5,DAY((DATE(年間!$C$1,5,1)-WEEKDAY(DATE(年間!$C$1,5,1))+27)),"")</f>
        <v>21</v>
      </c>
      <c r="G9" s="9">
        <f>IF(MONTH((DATE(年間!$C$1,5,1)-WEEKDAY(DATE(年間!$C$1,5,1))+28))=5,DAY((DATE(年間!$C$1,5,1)-WEEKDAY(DATE(年間!$C$1,5,1))+28)),"")</f>
        <v>22</v>
      </c>
    </row>
    <row r="10" spans="1:7" ht="50" customHeight="1" x14ac:dyDescent="0.2">
      <c r="A10" s="10" t="str">
        <f>IF(MONTH((DATE(年間!$C$1,5,1)-WEEKDAY(DATE(年間!$C$1,5,1))+22))=5,IFERROR(VLOOKUP((DATE(年間!$C$1,5,1)-WEEKDAY(DATE(年間!$C$1,5,1))+22),祝日!$A$2:$B$75,2,FALSE),""),"")</f>
        <v/>
      </c>
      <c r="B10" s="10" t="str">
        <f>IF(MONTH((DATE(年間!$C$1,5,1)-WEEKDAY(DATE(年間!$C$1,5,1))+23))=5,IFERROR(VLOOKUP((DATE(年間!$C$1,5,1)-WEEKDAY(DATE(年間!$C$1,5,1))+23),祝日!$A$2:$B$75,2,FALSE),""),"")</f>
        <v/>
      </c>
      <c r="C10" s="10" t="str">
        <f>IF(MONTH((DATE(年間!$C$1,5,1)-WEEKDAY(DATE(年間!$C$1,5,1))+24))=5,IFERROR(VLOOKUP((DATE(年間!$C$1,5,1)-WEEKDAY(DATE(年間!$C$1,5,1))+24),祝日!$A$2:$B$75,2,FALSE),""),"")</f>
        <v/>
      </c>
      <c r="D10" s="10" t="str">
        <f>IF(MONTH((DATE(年間!$C$1,5,1)-WEEKDAY(DATE(年間!$C$1,5,1))+25))=5,IFERROR(VLOOKUP((DATE(年間!$C$1,5,1)-WEEKDAY(DATE(年間!$C$1,5,1))+25),祝日!$A$2:$B$75,2,FALSE),""),"")</f>
        <v/>
      </c>
      <c r="E10" s="10" t="str">
        <f>IF(MONTH((DATE(年間!$C$1,5,1)-WEEKDAY(DATE(年間!$C$1,5,1))+26))=5,IFERROR(VLOOKUP((DATE(年間!$C$1,5,1)-WEEKDAY(DATE(年間!$C$1,5,1))+26),祝日!$A$2:$B$75,2,FALSE),""),"")</f>
        <v/>
      </c>
      <c r="F10" s="10" t="str">
        <f>IF(MONTH((DATE(年間!$C$1,5,1)-WEEKDAY(DATE(年間!$C$1,5,1))+27))=5,IFERROR(VLOOKUP((DATE(年間!$C$1,5,1)-WEEKDAY(DATE(年間!$C$1,5,1))+27),祝日!$A$2:$B$75,2,FALSE),""),"")</f>
        <v/>
      </c>
      <c r="G10" s="10" t="str">
        <f>IF(MONTH((DATE(年間!$C$1,5,1)-WEEKDAY(DATE(年間!$C$1,5,1))+28))=5,IFERROR(VLOOKUP((DATE(年間!$C$1,5,1)-WEEKDAY(DATE(年間!$C$1,5,1))+28),祝日!$A$2:$B$75,2,FALSE),""),"")</f>
        <v/>
      </c>
    </row>
    <row r="11" spans="1:7" ht="26" customHeight="1" x14ac:dyDescent="0.2">
      <c r="A11" s="9">
        <f>IF(MONTH((DATE(年間!$C$1,5,1)-WEEKDAY(DATE(年間!$C$1,5,1))+29))=5,DAY((DATE(年間!$C$1,5,1)-WEEKDAY(DATE(年間!$C$1,5,1))+29)),"")</f>
        <v>23</v>
      </c>
      <c r="B11" s="9">
        <f>IF(MONTH((DATE(年間!$C$1,5,1)-WEEKDAY(DATE(年間!$C$1,5,1))+30))=5,DAY((DATE(年間!$C$1,5,1)-WEEKDAY(DATE(年間!$C$1,5,1))+30)),"")</f>
        <v>24</v>
      </c>
      <c r="C11" s="9">
        <f>IF(MONTH((DATE(年間!$C$1,5,1)-WEEKDAY(DATE(年間!$C$1,5,1))+31))=5,DAY((DATE(年間!$C$1,5,1)-WEEKDAY(DATE(年間!$C$1,5,1))+31)),"")</f>
        <v>25</v>
      </c>
      <c r="D11" s="9">
        <f>IF(MONTH((DATE(年間!$C$1,5,1)-WEEKDAY(DATE(年間!$C$1,5,1))+32))=5,DAY((DATE(年間!$C$1,5,1)-WEEKDAY(DATE(年間!$C$1,5,1))+32)),"")</f>
        <v>26</v>
      </c>
      <c r="E11" s="9">
        <f>IF(MONTH((DATE(年間!$C$1,5,1)-WEEKDAY(DATE(年間!$C$1,5,1))+33))=5,DAY((DATE(年間!$C$1,5,1)-WEEKDAY(DATE(年間!$C$1,5,1))+33)),"")</f>
        <v>27</v>
      </c>
      <c r="F11" s="9">
        <f>IF(MONTH((DATE(年間!$C$1,5,1)-WEEKDAY(DATE(年間!$C$1,5,1))+34))=5,DAY((DATE(年間!$C$1,5,1)-WEEKDAY(DATE(年間!$C$1,5,1))+34)),"")</f>
        <v>28</v>
      </c>
      <c r="G11" s="9">
        <f>IF(MONTH((DATE(年間!$C$1,5,1)-WEEKDAY(DATE(年間!$C$1,5,1))+35))=5,DAY((DATE(年間!$C$1,5,1)-WEEKDAY(DATE(年間!$C$1,5,1))+35)),"")</f>
        <v>29</v>
      </c>
    </row>
    <row r="12" spans="1:7" ht="50" customHeight="1" x14ac:dyDescent="0.2">
      <c r="A12" s="10" t="str">
        <f>IF(MONTH((DATE(年間!$C$1,5,1)-WEEKDAY(DATE(年間!$C$1,5,1))+29))=5,IFERROR(VLOOKUP((DATE(年間!$C$1,5,1)-WEEKDAY(DATE(年間!$C$1,5,1))+29),祝日!$A$2:$B$75,2,FALSE),""),"")</f>
        <v/>
      </c>
      <c r="B12" s="10" t="str">
        <f>IF(MONTH((DATE(年間!$C$1,5,1)-WEEKDAY(DATE(年間!$C$1,5,1))+30))=5,IFERROR(VLOOKUP((DATE(年間!$C$1,5,1)-WEEKDAY(DATE(年間!$C$1,5,1))+30),祝日!$A$2:$B$75,2,FALSE),""),"")</f>
        <v/>
      </c>
      <c r="C12" s="10" t="str">
        <f>IF(MONTH((DATE(年間!$C$1,5,1)-WEEKDAY(DATE(年間!$C$1,5,1))+31))=5,IFERROR(VLOOKUP((DATE(年間!$C$1,5,1)-WEEKDAY(DATE(年間!$C$1,5,1))+31),祝日!$A$2:$B$75,2,FALSE),""),"")</f>
        <v/>
      </c>
      <c r="D12" s="10" t="str">
        <f>IF(MONTH((DATE(年間!$C$1,5,1)-WEEKDAY(DATE(年間!$C$1,5,1))+32))=5,IFERROR(VLOOKUP((DATE(年間!$C$1,5,1)-WEEKDAY(DATE(年間!$C$1,5,1))+32),祝日!$A$2:$B$75,2,FALSE),""),"")</f>
        <v/>
      </c>
      <c r="E12" s="10" t="str">
        <f>IF(MONTH((DATE(年間!$C$1,5,1)-WEEKDAY(DATE(年間!$C$1,5,1))+33))=5,IFERROR(VLOOKUP((DATE(年間!$C$1,5,1)-WEEKDAY(DATE(年間!$C$1,5,1))+33),祝日!$A$2:$B$75,2,FALSE),""),"")</f>
        <v/>
      </c>
      <c r="F12" s="10" t="str">
        <f>IF(MONTH((DATE(年間!$C$1,5,1)-WEEKDAY(DATE(年間!$C$1,5,1))+34))=5,IFERROR(VLOOKUP((DATE(年間!$C$1,5,1)-WEEKDAY(DATE(年間!$C$1,5,1))+34),祝日!$A$2:$B$75,2,FALSE),""),"")</f>
        <v/>
      </c>
      <c r="G12" s="10" t="str">
        <f>IF(MONTH((DATE(年間!$C$1,5,1)-WEEKDAY(DATE(年間!$C$1,5,1))+35))=5,IFERROR(VLOOKUP((DATE(年間!$C$1,5,1)-WEEKDAY(DATE(年間!$C$1,5,1))+35),祝日!$A$2:$B$75,2,FALSE),""),"")</f>
        <v/>
      </c>
    </row>
    <row r="13" spans="1:7" ht="26" customHeight="1" x14ac:dyDescent="0.2">
      <c r="A13" s="9">
        <f>IF(MONTH((DATE(年間!$C$1,5,1)-WEEKDAY(DATE(年間!$C$1,5,1))+36))=5,DAY((DATE(年間!$C$1,5,1)-WEEKDAY(DATE(年間!$C$1,5,1))+36)),"")</f>
        <v>30</v>
      </c>
      <c r="B13" s="9">
        <f>IF(MONTH((DATE(年間!$C$1,5,1)-WEEKDAY(DATE(年間!$C$1,5,1))+37))=5,DAY((DATE(年間!$C$1,5,1)-WEEKDAY(DATE(年間!$C$1,5,1))+37)),"")</f>
        <v>31</v>
      </c>
      <c r="C13" s="9" t="str">
        <f>IF(MONTH((DATE(年間!$C$1,5,1)-WEEKDAY(DATE(年間!$C$1,5,1))+38))=5,DAY((DATE(年間!$C$1,5,1)-WEEKDAY(DATE(年間!$C$1,5,1))+38)),"")</f>
        <v/>
      </c>
      <c r="D13" s="9" t="str">
        <f>IF(MONTH((DATE(年間!$C$1,5,1)-WEEKDAY(DATE(年間!$C$1,5,1))+39))=5,DAY((DATE(年間!$C$1,5,1)-WEEKDAY(DATE(年間!$C$1,5,1))+39)),"")</f>
        <v/>
      </c>
      <c r="E13" s="9" t="str">
        <f>IF(MONTH((DATE(年間!$C$1,5,1)-WEEKDAY(DATE(年間!$C$1,5,1))+40))=5,DAY((DATE(年間!$C$1,5,1)-WEEKDAY(DATE(年間!$C$1,5,1))+40)),"")</f>
        <v/>
      </c>
      <c r="F13" s="9" t="str">
        <f>IF(MONTH((DATE(年間!$C$1,5,1)-WEEKDAY(DATE(年間!$C$1,5,1))+41))=5,DAY((DATE(年間!$C$1,5,1)-WEEKDAY(DATE(年間!$C$1,5,1))+41)),"")</f>
        <v/>
      </c>
      <c r="G13" s="9" t="str">
        <f>IF(MONTH((DATE(年間!$C$1,5,1)-WEEKDAY(DATE(年間!$C$1,5,1))+42))=5,DAY((DATE(年間!$C$1,5,1)-WEEKDAY(DATE(年間!$C$1,5,1))+42)),"")</f>
        <v/>
      </c>
    </row>
    <row r="14" spans="1:7" ht="50" customHeight="1" x14ac:dyDescent="0.2">
      <c r="A14" s="10" t="str">
        <f>IF(MONTH((DATE(年間!$C$1,5,1)-WEEKDAY(DATE(年間!$C$1,5,1))+36))=5,IFERROR(VLOOKUP((DATE(年間!$C$1,5,1)-WEEKDAY(DATE(年間!$C$1,5,1))+36),祝日!$A$2:$B$75,2,FALSE),""),"")</f>
        <v/>
      </c>
      <c r="B14" s="10" t="str">
        <f>IF(MONTH((DATE(年間!$C$1,5,1)-WEEKDAY(DATE(年間!$C$1,5,1))+37))=5,IFERROR(VLOOKUP((DATE(年間!$C$1,5,1)-WEEKDAY(DATE(年間!$C$1,5,1))+37),祝日!$A$2:$B$75,2,FALSE),""),"")</f>
        <v/>
      </c>
      <c r="C14" s="10" t="str">
        <f>IF(MONTH((DATE(年間!$C$1,5,1)-WEEKDAY(DATE(年間!$C$1,5,1))+38))=5,IFERROR(VLOOKUP((DATE(年間!$C$1,5,1)-WEEKDAY(DATE(年間!$C$1,5,1))+38),祝日!$A$2:$B$75,2,FALSE),""),"")</f>
        <v/>
      </c>
      <c r="D14" s="10" t="str">
        <f>IF(MONTH((DATE(年間!$C$1,5,1)-WEEKDAY(DATE(年間!$C$1,5,1))+39))=5,IFERROR(VLOOKUP((DATE(年間!$C$1,5,1)-WEEKDAY(DATE(年間!$C$1,5,1))+39),祝日!$A$2:$B$75,2,FALSE),""),"")</f>
        <v/>
      </c>
      <c r="E14" s="10" t="str">
        <f>IF(MONTH((DATE(年間!$C$1,5,1)-WEEKDAY(DATE(年間!$C$1,5,1))+40))=5,IFERROR(VLOOKUP((DATE(年間!$C$1,5,1)-WEEKDAY(DATE(年間!$C$1,5,1))+40),祝日!$A$2:$B$75,2,FALSE),""),"")</f>
        <v/>
      </c>
      <c r="F14" s="10" t="str">
        <f>IF(MONTH((DATE(年間!$C$1,5,1)-WEEKDAY(DATE(年間!$C$1,5,1))+41))=5,IFERROR(VLOOKUP((DATE(年間!$C$1,5,1)-WEEKDAY(DATE(年間!$C$1,5,1))+41),祝日!$A$2:$B$75,2,FALSE),""),"")</f>
        <v/>
      </c>
      <c r="G14" s="10" t="str">
        <f>IF(MONTH((DATE(年間!$C$1,5,1)-WEEKDAY(DATE(年間!$C$1,5,1))+42))=5,IFERROR(VLOOKUP((DATE(年間!$C$1,5,1)-WEEKDAY(DATE(年間!$C$1,5,1))+42),祝日!$A$2:$B$75,2,FALSE),""),"")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15" priority="1">
      <formula>AND(A3&lt;&gt;"",OR(COLUMN(A3)=1,A4&lt;&gt;""))</formula>
    </cfRule>
  </conditionalFormatting>
  <conditionalFormatting sqref="G3 G5 G7 G9 G11 G13">
    <cfRule type="expression" dxfId="14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6月"</f>
        <v>2027年 6月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IF(MONTH((DATE(年間!$C$1,6,1)-WEEKDAY(DATE(年間!$C$1,6,1))+1))=6,DAY((DATE(年間!$C$1,6,1)-WEEKDAY(DATE(年間!$C$1,6,1))+1)),"")</f>
        <v/>
      </c>
      <c r="B3" s="9" t="str">
        <f>IF(MONTH((DATE(年間!$C$1,6,1)-WEEKDAY(DATE(年間!$C$1,6,1))+2))=6,DAY((DATE(年間!$C$1,6,1)-WEEKDAY(DATE(年間!$C$1,6,1))+2)),"")</f>
        <v/>
      </c>
      <c r="C3" s="9">
        <f>IF(MONTH((DATE(年間!$C$1,6,1)-WEEKDAY(DATE(年間!$C$1,6,1))+3))=6,DAY((DATE(年間!$C$1,6,1)-WEEKDAY(DATE(年間!$C$1,6,1))+3)),"")</f>
        <v>1</v>
      </c>
      <c r="D3" s="9">
        <f>IF(MONTH((DATE(年間!$C$1,6,1)-WEEKDAY(DATE(年間!$C$1,6,1))+4))=6,DAY((DATE(年間!$C$1,6,1)-WEEKDAY(DATE(年間!$C$1,6,1))+4)),"")</f>
        <v>2</v>
      </c>
      <c r="E3" s="9">
        <f>IF(MONTH((DATE(年間!$C$1,6,1)-WEEKDAY(DATE(年間!$C$1,6,1))+5))=6,DAY((DATE(年間!$C$1,6,1)-WEEKDAY(DATE(年間!$C$1,6,1))+5)),"")</f>
        <v>3</v>
      </c>
      <c r="F3" s="9">
        <f>IF(MONTH((DATE(年間!$C$1,6,1)-WEEKDAY(DATE(年間!$C$1,6,1))+6))=6,DAY((DATE(年間!$C$1,6,1)-WEEKDAY(DATE(年間!$C$1,6,1))+6)),"")</f>
        <v>4</v>
      </c>
      <c r="G3" s="9">
        <f>IF(MONTH((DATE(年間!$C$1,6,1)-WEEKDAY(DATE(年間!$C$1,6,1))+7))=6,DAY((DATE(年間!$C$1,6,1)-WEEKDAY(DATE(年間!$C$1,6,1))+7)),"")</f>
        <v>5</v>
      </c>
    </row>
    <row r="4" spans="1:7" ht="50" customHeight="1" x14ac:dyDescent="0.2">
      <c r="A4" s="10" t="str">
        <f>IF(MONTH((DATE(年間!$C$1,6,1)-WEEKDAY(DATE(年間!$C$1,6,1))+1))=6,IFERROR(VLOOKUP((DATE(年間!$C$1,6,1)-WEEKDAY(DATE(年間!$C$1,6,1))+1),祝日!$A$2:$B$75,2,FALSE),""),"")</f>
        <v/>
      </c>
      <c r="B4" s="10" t="str">
        <f>IF(MONTH((DATE(年間!$C$1,6,1)-WEEKDAY(DATE(年間!$C$1,6,1))+2))=6,IFERROR(VLOOKUP((DATE(年間!$C$1,6,1)-WEEKDAY(DATE(年間!$C$1,6,1))+2),祝日!$A$2:$B$75,2,FALSE),""),"")</f>
        <v/>
      </c>
      <c r="C4" s="10" t="str">
        <f>IF(MONTH((DATE(年間!$C$1,6,1)-WEEKDAY(DATE(年間!$C$1,6,1))+3))=6,IFERROR(VLOOKUP((DATE(年間!$C$1,6,1)-WEEKDAY(DATE(年間!$C$1,6,1))+3),祝日!$A$2:$B$75,2,FALSE),""),"")</f>
        <v/>
      </c>
      <c r="D4" s="10" t="str">
        <f>IF(MONTH((DATE(年間!$C$1,6,1)-WEEKDAY(DATE(年間!$C$1,6,1))+4))=6,IFERROR(VLOOKUP((DATE(年間!$C$1,6,1)-WEEKDAY(DATE(年間!$C$1,6,1))+4),祝日!$A$2:$B$75,2,FALSE),""),"")</f>
        <v/>
      </c>
      <c r="E4" s="10" t="str">
        <f>IF(MONTH((DATE(年間!$C$1,6,1)-WEEKDAY(DATE(年間!$C$1,6,1))+5))=6,IFERROR(VLOOKUP((DATE(年間!$C$1,6,1)-WEEKDAY(DATE(年間!$C$1,6,1))+5),祝日!$A$2:$B$75,2,FALSE),""),"")</f>
        <v/>
      </c>
      <c r="F4" s="10" t="str">
        <f>IF(MONTH((DATE(年間!$C$1,6,1)-WEEKDAY(DATE(年間!$C$1,6,1))+6))=6,IFERROR(VLOOKUP((DATE(年間!$C$1,6,1)-WEEKDAY(DATE(年間!$C$1,6,1))+6),祝日!$A$2:$B$75,2,FALSE),""),"")</f>
        <v/>
      </c>
      <c r="G4" s="10" t="str">
        <f>IF(MONTH((DATE(年間!$C$1,6,1)-WEEKDAY(DATE(年間!$C$1,6,1))+7))=6,IFERROR(VLOOKUP((DATE(年間!$C$1,6,1)-WEEKDAY(DATE(年間!$C$1,6,1))+7),祝日!$A$2:$B$75,2,FALSE),""),"")</f>
        <v/>
      </c>
    </row>
    <row r="5" spans="1:7" ht="26" customHeight="1" x14ac:dyDescent="0.2">
      <c r="A5" s="9">
        <f>IF(MONTH((DATE(年間!$C$1,6,1)-WEEKDAY(DATE(年間!$C$1,6,1))+8))=6,DAY((DATE(年間!$C$1,6,1)-WEEKDAY(DATE(年間!$C$1,6,1))+8)),"")</f>
        <v>6</v>
      </c>
      <c r="B5" s="9">
        <f>IF(MONTH((DATE(年間!$C$1,6,1)-WEEKDAY(DATE(年間!$C$1,6,1))+9))=6,DAY((DATE(年間!$C$1,6,1)-WEEKDAY(DATE(年間!$C$1,6,1))+9)),"")</f>
        <v>7</v>
      </c>
      <c r="C5" s="9">
        <f>IF(MONTH((DATE(年間!$C$1,6,1)-WEEKDAY(DATE(年間!$C$1,6,1))+10))=6,DAY((DATE(年間!$C$1,6,1)-WEEKDAY(DATE(年間!$C$1,6,1))+10)),"")</f>
        <v>8</v>
      </c>
      <c r="D5" s="9">
        <f>IF(MONTH((DATE(年間!$C$1,6,1)-WEEKDAY(DATE(年間!$C$1,6,1))+11))=6,DAY((DATE(年間!$C$1,6,1)-WEEKDAY(DATE(年間!$C$1,6,1))+11)),"")</f>
        <v>9</v>
      </c>
      <c r="E5" s="9">
        <f>IF(MONTH((DATE(年間!$C$1,6,1)-WEEKDAY(DATE(年間!$C$1,6,1))+12))=6,DAY((DATE(年間!$C$1,6,1)-WEEKDAY(DATE(年間!$C$1,6,1))+12)),"")</f>
        <v>10</v>
      </c>
      <c r="F5" s="9">
        <f>IF(MONTH((DATE(年間!$C$1,6,1)-WEEKDAY(DATE(年間!$C$1,6,1))+13))=6,DAY((DATE(年間!$C$1,6,1)-WEEKDAY(DATE(年間!$C$1,6,1))+13)),"")</f>
        <v>11</v>
      </c>
      <c r="G5" s="9">
        <f>IF(MONTH((DATE(年間!$C$1,6,1)-WEEKDAY(DATE(年間!$C$1,6,1))+14))=6,DAY((DATE(年間!$C$1,6,1)-WEEKDAY(DATE(年間!$C$1,6,1))+14)),"")</f>
        <v>12</v>
      </c>
    </row>
    <row r="6" spans="1:7" ht="50" customHeight="1" x14ac:dyDescent="0.2">
      <c r="A6" s="10" t="str">
        <f>IF(MONTH((DATE(年間!$C$1,6,1)-WEEKDAY(DATE(年間!$C$1,6,1))+8))=6,IFERROR(VLOOKUP((DATE(年間!$C$1,6,1)-WEEKDAY(DATE(年間!$C$1,6,1))+8),祝日!$A$2:$B$75,2,FALSE),""),"")</f>
        <v/>
      </c>
      <c r="B6" s="10" t="str">
        <f>IF(MONTH((DATE(年間!$C$1,6,1)-WEEKDAY(DATE(年間!$C$1,6,1))+9))=6,IFERROR(VLOOKUP((DATE(年間!$C$1,6,1)-WEEKDAY(DATE(年間!$C$1,6,1))+9),祝日!$A$2:$B$75,2,FALSE),""),"")</f>
        <v/>
      </c>
      <c r="C6" s="10" t="str">
        <f>IF(MONTH((DATE(年間!$C$1,6,1)-WEEKDAY(DATE(年間!$C$1,6,1))+10))=6,IFERROR(VLOOKUP((DATE(年間!$C$1,6,1)-WEEKDAY(DATE(年間!$C$1,6,1))+10),祝日!$A$2:$B$75,2,FALSE),""),"")</f>
        <v/>
      </c>
      <c r="D6" s="10" t="str">
        <f>IF(MONTH((DATE(年間!$C$1,6,1)-WEEKDAY(DATE(年間!$C$1,6,1))+11))=6,IFERROR(VLOOKUP((DATE(年間!$C$1,6,1)-WEEKDAY(DATE(年間!$C$1,6,1))+11),祝日!$A$2:$B$75,2,FALSE),""),"")</f>
        <v/>
      </c>
      <c r="E6" s="10" t="str">
        <f>IF(MONTH((DATE(年間!$C$1,6,1)-WEEKDAY(DATE(年間!$C$1,6,1))+12))=6,IFERROR(VLOOKUP((DATE(年間!$C$1,6,1)-WEEKDAY(DATE(年間!$C$1,6,1))+12),祝日!$A$2:$B$75,2,FALSE),""),"")</f>
        <v/>
      </c>
      <c r="F6" s="10" t="str">
        <f>IF(MONTH((DATE(年間!$C$1,6,1)-WEEKDAY(DATE(年間!$C$1,6,1))+13))=6,IFERROR(VLOOKUP((DATE(年間!$C$1,6,1)-WEEKDAY(DATE(年間!$C$1,6,1))+13),祝日!$A$2:$B$75,2,FALSE),""),"")</f>
        <v/>
      </c>
      <c r="G6" s="10" t="str">
        <f>IF(MONTH((DATE(年間!$C$1,6,1)-WEEKDAY(DATE(年間!$C$1,6,1))+14))=6,IFERROR(VLOOKUP((DATE(年間!$C$1,6,1)-WEEKDAY(DATE(年間!$C$1,6,1))+14),祝日!$A$2:$B$75,2,FALSE),""),"")</f>
        <v/>
      </c>
    </row>
    <row r="7" spans="1:7" ht="26" customHeight="1" x14ac:dyDescent="0.2">
      <c r="A7" s="9">
        <f>IF(MONTH((DATE(年間!$C$1,6,1)-WEEKDAY(DATE(年間!$C$1,6,1))+15))=6,DAY((DATE(年間!$C$1,6,1)-WEEKDAY(DATE(年間!$C$1,6,1))+15)),"")</f>
        <v>13</v>
      </c>
      <c r="B7" s="9">
        <f>IF(MONTH((DATE(年間!$C$1,6,1)-WEEKDAY(DATE(年間!$C$1,6,1))+16))=6,DAY((DATE(年間!$C$1,6,1)-WEEKDAY(DATE(年間!$C$1,6,1))+16)),"")</f>
        <v>14</v>
      </c>
      <c r="C7" s="9">
        <f>IF(MONTH((DATE(年間!$C$1,6,1)-WEEKDAY(DATE(年間!$C$1,6,1))+17))=6,DAY((DATE(年間!$C$1,6,1)-WEEKDAY(DATE(年間!$C$1,6,1))+17)),"")</f>
        <v>15</v>
      </c>
      <c r="D7" s="9">
        <f>IF(MONTH((DATE(年間!$C$1,6,1)-WEEKDAY(DATE(年間!$C$1,6,1))+18))=6,DAY((DATE(年間!$C$1,6,1)-WEEKDAY(DATE(年間!$C$1,6,1))+18)),"")</f>
        <v>16</v>
      </c>
      <c r="E7" s="9">
        <f>IF(MONTH((DATE(年間!$C$1,6,1)-WEEKDAY(DATE(年間!$C$1,6,1))+19))=6,DAY((DATE(年間!$C$1,6,1)-WEEKDAY(DATE(年間!$C$1,6,1))+19)),"")</f>
        <v>17</v>
      </c>
      <c r="F7" s="9">
        <f>IF(MONTH((DATE(年間!$C$1,6,1)-WEEKDAY(DATE(年間!$C$1,6,1))+20))=6,DAY((DATE(年間!$C$1,6,1)-WEEKDAY(DATE(年間!$C$1,6,1))+20)),"")</f>
        <v>18</v>
      </c>
      <c r="G7" s="9">
        <f>IF(MONTH((DATE(年間!$C$1,6,1)-WEEKDAY(DATE(年間!$C$1,6,1))+21))=6,DAY((DATE(年間!$C$1,6,1)-WEEKDAY(DATE(年間!$C$1,6,1))+21)),"")</f>
        <v>19</v>
      </c>
    </row>
    <row r="8" spans="1:7" ht="50" customHeight="1" x14ac:dyDescent="0.2">
      <c r="A8" s="10" t="str">
        <f>IF(MONTH((DATE(年間!$C$1,6,1)-WEEKDAY(DATE(年間!$C$1,6,1))+15))=6,IFERROR(VLOOKUP((DATE(年間!$C$1,6,1)-WEEKDAY(DATE(年間!$C$1,6,1))+15),祝日!$A$2:$B$75,2,FALSE),""),"")</f>
        <v/>
      </c>
      <c r="B8" s="10" t="str">
        <f>IF(MONTH((DATE(年間!$C$1,6,1)-WEEKDAY(DATE(年間!$C$1,6,1))+16))=6,IFERROR(VLOOKUP((DATE(年間!$C$1,6,1)-WEEKDAY(DATE(年間!$C$1,6,1))+16),祝日!$A$2:$B$75,2,FALSE),""),"")</f>
        <v/>
      </c>
      <c r="C8" s="10" t="str">
        <f>IF(MONTH((DATE(年間!$C$1,6,1)-WEEKDAY(DATE(年間!$C$1,6,1))+17))=6,IFERROR(VLOOKUP((DATE(年間!$C$1,6,1)-WEEKDAY(DATE(年間!$C$1,6,1))+17),祝日!$A$2:$B$75,2,FALSE),""),"")</f>
        <v/>
      </c>
      <c r="D8" s="10" t="str">
        <f>IF(MONTH((DATE(年間!$C$1,6,1)-WEEKDAY(DATE(年間!$C$1,6,1))+18))=6,IFERROR(VLOOKUP((DATE(年間!$C$1,6,1)-WEEKDAY(DATE(年間!$C$1,6,1))+18),祝日!$A$2:$B$75,2,FALSE),""),"")</f>
        <v/>
      </c>
      <c r="E8" s="10" t="str">
        <f>IF(MONTH((DATE(年間!$C$1,6,1)-WEEKDAY(DATE(年間!$C$1,6,1))+19))=6,IFERROR(VLOOKUP((DATE(年間!$C$1,6,1)-WEEKDAY(DATE(年間!$C$1,6,1))+19),祝日!$A$2:$B$75,2,FALSE),""),"")</f>
        <v/>
      </c>
      <c r="F8" s="10" t="str">
        <f>IF(MONTH((DATE(年間!$C$1,6,1)-WEEKDAY(DATE(年間!$C$1,6,1))+20))=6,IFERROR(VLOOKUP((DATE(年間!$C$1,6,1)-WEEKDAY(DATE(年間!$C$1,6,1))+20),祝日!$A$2:$B$75,2,FALSE),""),"")</f>
        <v/>
      </c>
      <c r="G8" s="10" t="str">
        <f>IF(MONTH((DATE(年間!$C$1,6,1)-WEEKDAY(DATE(年間!$C$1,6,1))+21))=6,IFERROR(VLOOKUP((DATE(年間!$C$1,6,1)-WEEKDAY(DATE(年間!$C$1,6,1))+21),祝日!$A$2:$B$75,2,FALSE),""),"")</f>
        <v/>
      </c>
    </row>
    <row r="9" spans="1:7" ht="26" customHeight="1" x14ac:dyDescent="0.2">
      <c r="A9" s="9">
        <f>IF(MONTH((DATE(年間!$C$1,6,1)-WEEKDAY(DATE(年間!$C$1,6,1))+22))=6,DAY((DATE(年間!$C$1,6,1)-WEEKDAY(DATE(年間!$C$1,6,1))+22)),"")</f>
        <v>20</v>
      </c>
      <c r="B9" s="9">
        <f>IF(MONTH((DATE(年間!$C$1,6,1)-WEEKDAY(DATE(年間!$C$1,6,1))+23))=6,DAY((DATE(年間!$C$1,6,1)-WEEKDAY(DATE(年間!$C$1,6,1))+23)),"")</f>
        <v>21</v>
      </c>
      <c r="C9" s="9">
        <f>IF(MONTH((DATE(年間!$C$1,6,1)-WEEKDAY(DATE(年間!$C$1,6,1))+24))=6,DAY((DATE(年間!$C$1,6,1)-WEEKDAY(DATE(年間!$C$1,6,1))+24)),"")</f>
        <v>22</v>
      </c>
      <c r="D9" s="9">
        <f>IF(MONTH((DATE(年間!$C$1,6,1)-WEEKDAY(DATE(年間!$C$1,6,1))+25))=6,DAY((DATE(年間!$C$1,6,1)-WEEKDAY(DATE(年間!$C$1,6,1))+25)),"")</f>
        <v>23</v>
      </c>
      <c r="E9" s="9">
        <f>IF(MONTH((DATE(年間!$C$1,6,1)-WEEKDAY(DATE(年間!$C$1,6,1))+26))=6,DAY((DATE(年間!$C$1,6,1)-WEEKDAY(DATE(年間!$C$1,6,1))+26)),"")</f>
        <v>24</v>
      </c>
      <c r="F9" s="9">
        <f>IF(MONTH((DATE(年間!$C$1,6,1)-WEEKDAY(DATE(年間!$C$1,6,1))+27))=6,DAY((DATE(年間!$C$1,6,1)-WEEKDAY(DATE(年間!$C$1,6,1))+27)),"")</f>
        <v>25</v>
      </c>
      <c r="G9" s="9">
        <f>IF(MONTH((DATE(年間!$C$1,6,1)-WEEKDAY(DATE(年間!$C$1,6,1))+28))=6,DAY((DATE(年間!$C$1,6,1)-WEEKDAY(DATE(年間!$C$1,6,1))+28)),"")</f>
        <v>26</v>
      </c>
    </row>
    <row r="10" spans="1:7" ht="50" customHeight="1" x14ac:dyDescent="0.2">
      <c r="A10" s="10" t="str">
        <f>IF(MONTH((DATE(年間!$C$1,6,1)-WEEKDAY(DATE(年間!$C$1,6,1))+22))=6,IFERROR(VLOOKUP((DATE(年間!$C$1,6,1)-WEEKDAY(DATE(年間!$C$1,6,1))+22),祝日!$A$2:$B$75,2,FALSE),""),"")</f>
        <v/>
      </c>
      <c r="B10" s="10" t="str">
        <f>IF(MONTH((DATE(年間!$C$1,6,1)-WEEKDAY(DATE(年間!$C$1,6,1))+23))=6,IFERROR(VLOOKUP((DATE(年間!$C$1,6,1)-WEEKDAY(DATE(年間!$C$1,6,1))+23),祝日!$A$2:$B$75,2,FALSE),""),"")</f>
        <v/>
      </c>
      <c r="C10" s="10" t="str">
        <f>IF(MONTH((DATE(年間!$C$1,6,1)-WEEKDAY(DATE(年間!$C$1,6,1))+24))=6,IFERROR(VLOOKUP((DATE(年間!$C$1,6,1)-WEEKDAY(DATE(年間!$C$1,6,1))+24),祝日!$A$2:$B$75,2,FALSE),""),"")</f>
        <v/>
      </c>
      <c r="D10" s="10" t="str">
        <f>IF(MONTH((DATE(年間!$C$1,6,1)-WEEKDAY(DATE(年間!$C$1,6,1))+25))=6,IFERROR(VLOOKUP((DATE(年間!$C$1,6,1)-WEEKDAY(DATE(年間!$C$1,6,1))+25),祝日!$A$2:$B$75,2,FALSE),""),"")</f>
        <v/>
      </c>
      <c r="E10" s="10" t="str">
        <f>IF(MONTH((DATE(年間!$C$1,6,1)-WEEKDAY(DATE(年間!$C$1,6,1))+26))=6,IFERROR(VLOOKUP((DATE(年間!$C$1,6,1)-WEEKDAY(DATE(年間!$C$1,6,1))+26),祝日!$A$2:$B$75,2,FALSE),""),"")</f>
        <v/>
      </c>
      <c r="F10" s="10" t="str">
        <f>IF(MONTH((DATE(年間!$C$1,6,1)-WEEKDAY(DATE(年間!$C$1,6,1))+27))=6,IFERROR(VLOOKUP((DATE(年間!$C$1,6,1)-WEEKDAY(DATE(年間!$C$1,6,1))+27),祝日!$A$2:$B$75,2,FALSE),""),"")</f>
        <v/>
      </c>
      <c r="G10" s="10" t="str">
        <f>IF(MONTH((DATE(年間!$C$1,6,1)-WEEKDAY(DATE(年間!$C$1,6,1))+28))=6,IFERROR(VLOOKUP((DATE(年間!$C$1,6,1)-WEEKDAY(DATE(年間!$C$1,6,1))+28),祝日!$A$2:$B$75,2,FALSE),""),"")</f>
        <v/>
      </c>
    </row>
    <row r="11" spans="1:7" ht="26" customHeight="1" x14ac:dyDescent="0.2">
      <c r="A11" s="9">
        <f>IF(MONTH((DATE(年間!$C$1,6,1)-WEEKDAY(DATE(年間!$C$1,6,1))+29))=6,DAY((DATE(年間!$C$1,6,1)-WEEKDAY(DATE(年間!$C$1,6,1))+29)),"")</f>
        <v>27</v>
      </c>
      <c r="B11" s="9">
        <f>IF(MONTH((DATE(年間!$C$1,6,1)-WEEKDAY(DATE(年間!$C$1,6,1))+30))=6,DAY((DATE(年間!$C$1,6,1)-WEEKDAY(DATE(年間!$C$1,6,1))+30)),"")</f>
        <v>28</v>
      </c>
      <c r="C11" s="9">
        <f>IF(MONTH((DATE(年間!$C$1,6,1)-WEEKDAY(DATE(年間!$C$1,6,1))+31))=6,DAY((DATE(年間!$C$1,6,1)-WEEKDAY(DATE(年間!$C$1,6,1))+31)),"")</f>
        <v>29</v>
      </c>
      <c r="D11" s="9">
        <f>IF(MONTH((DATE(年間!$C$1,6,1)-WEEKDAY(DATE(年間!$C$1,6,1))+32))=6,DAY((DATE(年間!$C$1,6,1)-WEEKDAY(DATE(年間!$C$1,6,1))+32)),"")</f>
        <v>30</v>
      </c>
      <c r="E11" s="9" t="str">
        <f>IF(MONTH((DATE(年間!$C$1,6,1)-WEEKDAY(DATE(年間!$C$1,6,1))+33))=6,DAY((DATE(年間!$C$1,6,1)-WEEKDAY(DATE(年間!$C$1,6,1))+33)),"")</f>
        <v/>
      </c>
      <c r="F11" s="9" t="str">
        <f>IF(MONTH((DATE(年間!$C$1,6,1)-WEEKDAY(DATE(年間!$C$1,6,1))+34))=6,DAY((DATE(年間!$C$1,6,1)-WEEKDAY(DATE(年間!$C$1,6,1))+34)),"")</f>
        <v/>
      </c>
      <c r="G11" s="9" t="str">
        <f>IF(MONTH((DATE(年間!$C$1,6,1)-WEEKDAY(DATE(年間!$C$1,6,1))+35))=6,DAY((DATE(年間!$C$1,6,1)-WEEKDAY(DATE(年間!$C$1,6,1))+35)),"")</f>
        <v/>
      </c>
    </row>
    <row r="12" spans="1:7" ht="50" customHeight="1" x14ac:dyDescent="0.2">
      <c r="A12" s="10" t="str">
        <f>IF(MONTH((DATE(年間!$C$1,6,1)-WEEKDAY(DATE(年間!$C$1,6,1))+29))=6,IFERROR(VLOOKUP((DATE(年間!$C$1,6,1)-WEEKDAY(DATE(年間!$C$1,6,1))+29),祝日!$A$2:$B$75,2,FALSE),""),"")</f>
        <v/>
      </c>
      <c r="B12" s="10" t="str">
        <f>IF(MONTH((DATE(年間!$C$1,6,1)-WEEKDAY(DATE(年間!$C$1,6,1))+30))=6,IFERROR(VLOOKUP((DATE(年間!$C$1,6,1)-WEEKDAY(DATE(年間!$C$1,6,1))+30),祝日!$A$2:$B$75,2,FALSE),""),"")</f>
        <v/>
      </c>
      <c r="C12" s="10" t="str">
        <f>IF(MONTH((DATE(年間!$C$1,6,1)-WEEKDAY(DATE(年間!$C$1,6,1))+31))=6,IFERROR(VLOOKUP((DATE(年間!$C$1,6,1)-WEEKDAY(DATE(年間!$C$1,6,1))+31),祝日!$A$2:$B$75,2,FALSE),""),"")</f>
        <v/>
      </c>
      <c r="D12" s="10" t="str">
        <f>IF(MONTH((DATE(年間!$C$1,6,1)-WEEKDAY(DATE(年間!$C$1,6,1))+32))=6,IFERROR(VLOOKUP((DATE(年間!$C$1,6,1)-WEEKDAY(DATE(年間!$C$1,6,1))+32),祝日!$A$2:$B$75,2,FALSE),""),"")</f>
        <v/>
      </c>
      <c r="E12" s="10" t="str">
        <f>IF(MONTH((DATE(年間!$C$1,6,1)-WEEKDAY(DATE(年間!$C$1,6,1))+33))=6,IFERROR(VLOOKUP((DATE(年間!$C$1,6,1)-WEEKDAY(DATE(年間!$C$1,6,1))+33),祝日!$A$2:$B$75,2,FALSE),""),"")</f>
        <v/>
      </c>
      <c r="F12" s="10" t="str">
        <f>IF(MONTH((DATE(年間!$C$1,6,1)-WEEKDAY(DATE(年間!$C$1,6,1))+34))=6,IFERROR(VLOOKUP((DATE(年間!$C$1,6,1)-WEEKDAY(DATE(年間!$C$1,6,1))+34),祝日!$A$2:$B$75,2,FALSE),""),"")</f>
        <v/>
      </c>
      <c r="G12" s="10" t="str">
        <f>IF(MONTH((DATE(年間!$C$1,6,1)-WEEKDAY(DATE(年間!$C$1,6,1))+35))=6,IFERROR(VLOOKUP((DATE(年間!$C$1,6,1)-WEEKDAY(DATE(年間!$C$1,6,1))+35),祝日!$A$2:$B$75,2,FALSE),""),"")</f>
        <v/>
      </c>
    </row>
    <row r="13" spans="1:7" ht="26" customHeight="1" x14ac:dyDescent="0.2">
      <c r="A13" s="9" t="str">
        <f>IF(MONTH((DATE(年間!$C$1,6,1)-WEEKDAY(DATE(年間!$C$1,6,1))+36))=6,DAY((DATE(年間!$C$1,6,1)-WEEKDAY(DATE(年間!$C$1,6,1))+36)),"")</f>
        <v/>
      </c>
      <c r="B13" s="9" t="str">
        <f>IF(MONTH((DATE(年間!$C$1,6,1)-WEEKDAY(DATE(年間!$C$1,6,1))+37))=6,DAY((DATE(年間!$C$1,6,1)-WEEKDAY(DATE(年間!$C$1,6,1))+37)),"")</f>
        <v/>
      </c>
      <c r="C13" s="9" t="str">
        <f>IF(MONTH((DATE(年間!$C$1,6,1)-WEEKDAY(DATE(年間!$C$1,6,1))+38))=6,DAY((DATE(年間!$C$1,6,1)-WEEKDAY(DATE(年間!$C$1,6,1))+38)),"")</f>
        <v/>
      </c>
      <c r="D13" s="9" t="str">
        <f>IF(MONTH((DATE(年間!$C$1,6,1)-WEEKDAY(DATE(年間!$C$1,6,1))+39))=6,DAY((DATE(年間!$C$1,6,1)-WEEKDAY(DATE(年間!$C$1,6,1))+39)),"")</f>
        <v/>
      </c>
      <c r="E13" s="9" t="str">
        <f>IF(MONTH((DATE(年間!$C$1,6,1)-WEEKDAY(DATE(年間!$C$1,6,1))+40))=6,DAY((DATE(年間!$C$1,6,1)-WEEKDAY(DATE(年間!$C$1,6,1))+40)),"")</f>
        <v/>
      </c>
      <c r="F13" s="9" t="str">
        <f>IF(MONTH((DATE(年間!$C$1,6,1)-WEEKDAY(DATE(年間!$C$1,6,1))+41))=6,DAY((DATE(年間!$C$1,6,1)-WEEKDAY(DATE(年間!$C$1,6,1))+41)),"")</f>
        <v/>
      </c>
      <c r="G13" s="9" t="str">
        <f>IF(MONTH((DATE(年間!$C$1,6,1)-WEEKDAY(DATE(年間!$C$1,6,1))+42))=6,DAY((DATE(年間!$C$1,6,1)-WEEKDAY(DATE(年間!$C$1,6,1))+42)),"")</f>
        <v/>
      </c>
    </row>
    <row r="14" spans="1:7" ht="50" customHeight="1" x14ac:dyDescent="0.2">
      <c r="A14" s="10" t="str">
        <f>IF(MONTH((DATE(年間!$C$1,6,1)-WEEKDAY(DATE(年間!$C$1,6,1))+36))=6,IFERROR(VLOOKUP((DATE(年間!$C$1,6,1)-WEEKDAY(DATE(年間!$C$1,6,1))+36),祝日!$A$2:$B$75,2,FALSE),""),"")</f>
        <v/>
      </c>
      <c r="B14" s="10" t="str">
        <f>IF(MONTH((DATE(年間!$C$1,6,1)-WEEKDAY(DATE(年間!$C$1,6,1))+37))=6,IFERROR(VLOOKUP((DATE(年間!$C$1,6,1)-WEEKDAY(DATE(年間!$C$1,6,1))+37),祝日!$A$2:$B$75,2,FALSE),""),"")</f>
        <v/>
      </c>
      <c r="C14" s="10" t="str">
        <f>IF(MONTH((DATE(年間!$C$1,6,1)-WEEKDAY(DATE(年間!$C$1,6,1))+38))=6,IFERROR(VLOOKUP((DATE(年間!$C$1,6,1)-WEEKDAY(DATE(年間!$C$1,6,1))+38),祝日!$A$2:$B$75,2,FALSE),""),"")</f>
        <v/>
      </c>
      <c r="D14" s="10" t="str">
        <f>IF(MONTH((DATE(年間!$C$1,6,1)-WEEKDAY(DATE(年間!$C$1,6,1))+39))=6,IFERROR(VLOOKUP((DATE(年間!$C$1,6,1)-WEEKDAY(DATE(年間!$C$1,6,1))+39),祝日!$A$2:$B$75,2,FALSE),""),"")</f>
        <v/>
      </c>
      <c r="E14" s="10" t="str">
        <f>IF(MONTH((DATE(年間!$C$1,6,1)-WEEKDAY(DATE(年間!$C$1,6,1))+40))=6,IFERROR(VLOOKUP((DATE(年間!$C$1,6,1)-WEEKDAY(DATE(年間!$C$1,6,1))+40),祝日!$A$2:$B$75,2,FALSE),""),"")</f>
        <v/>
      </c>
      <c r="F14" s="10" t="str">
        <f>IF(MONTH((DATE(年間!$C$1,6,1)-WEEKDAY(DATE(年間!$C$1,6,1))+41))=6,IFERROR(VLOOKUP((DATE(年間!$C$1,6,1)-WEEKDAY(DATE(年間!$C$1,6,1))+41),祝日!$A$2:$B$75,2,FALSE),""),"")</f>
        <v/>
      </c>
      <c r="G14" s="10" t="str">
        <f>IF(MONTH((DATE(年間!$C$1,6,1)-WEEKDAY(DATE(年間!$C$1,6,1))+42))=6,IFERROR(VLOOKUP((DATE(年間!$C$1,6,1)-WEEKDAY(DATE(年間!$C$1,6,1))+42),祝日!$A$2:$B$75,2,FALSE),""),"")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13" priority="1">
      <formula>AND(A3&lt;&gt;"",OR(COLUMN(A3)=1,A4&lt;&gt;""))</formula>
    </cfRule>
  </conditionalFormatting>
  <conditionalFormatting sqref="G3 G5 G7 G9 G11 G13">
    <cfRule type="expression" dxfId="12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7月"</f>
        <v>2027年 7月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IF(MONTH((DATE(年間!$C$1,7,1)-WEEKDAY(DATE(年間!$C$1,7,1))+1))=7,DAY((DATE(年間!$C$1,7,1)-WEEKDAY(DATE(年間!$C$1,7,1))+1)),"")</f>
        <v/>
      </c>
      <c r="B3" s="9" t="str">
        <f>IF(MONTH((DATE(年間!$C$1,7,1)-WEEKDAY(DATE(年間!$C$1,7,1))+2))=7,DAY((DATE(年間!$C$1,7,1)-WEEKDAY(DATE(年間!$C$1,7,1))+2)),"")</f>
        <v/>
      </c>
      <c r="C3" s="9" t="str">
        <f>IF(MONTH((DATE(年間!$C$1,7,1)-WEEKDAY(DATE(年間!$C$1,7,1))+3))=7,DAY((DATE(年間!$C$1,7,1)-WEEKDAY(DATE(年間!$C$1,7,1))+3)),"")</f>
        <v/>
      </c>
      <c r="D3" s="9" t="str">
        <f>IF(MONTH((DATE(年間!$C$1,7,1)-WEEKDAY(DATE(年間!$C$1,7,1))+4))=7,DAY((DATE(年間!$C$1,7,1)-WEEKDAY(DATE(年間!$C$1,7,1))+4)),"")</f>
        <v/>
      </c>
      <c r="E3" s="9">
        <f>IF(MONTH((DATE(年間!$C$1,7,1)-WEEKDAY(DATE(年間!$C$1,7,1))+5))=7,DAY((DATE(年間!$C$1,7,1)-WEEKDAY(DATE(年間!$C$1,7,1))+5)),"")</f>
        <v>1</v>
      </c>
      <c r="F3" s="9">
        <f>IF(MONTH((DATE(年間!$C$1,7,1)-WEEKDAY(DATE(年間!$C$1,7,1))+6))=7,DAY((DATE(年間!$C$1,7,1)-WEEKDAY(DATE(年間!$C$1,7,1))+6)),"")</f>
        <v>2</v>
      </c>
      <c r="G3" s="9">
        <f>IF(MONTH((DATE(年間!$C$1,7,1)-WEEKDAY(DATE(年間!$C$1,7,1))+7))=7,DAY((DATE(年間!$C$1,7,1)-WEEKDAY(DATE(年間!$C$1,7,1))+7)),"")</f>
        <v>3</v>
      </c>
    </row>
    <row r="4" spans="1:7" ht="50" customHeight="1" x14ac:dyDescent="0.2">
      <c r="A4" s="10" t="str">
        <f>IF(MONTH((DATE(年間!$C$1,7,1)-WEEKDAY(DATE(年間!$C$1,7,1))+1))=7,IFERROR(VLOOKUP((DATE(年間!$C$1,7,1)-WEEKDAY(DATE(年間!$C$1,7,1))+1),祝日!$A$2:$B$75,2,FALSE),""),"")</f>
        <v/>
      </c>
      <c r="B4" s="10" t="str">
        <f>IF(MONTH((DATE(年間!$C$1,7,1)-WEEKDAY(DATE(年間!$C$1,7,1))+2))=7,IFERROR(VLOOKUP((DATE(年間!$C$1,7,1)-WEEKDAY(DATE(年間!$C$1,7,1))+2),祝日!$A$2:$B$75,2,FALSE),""),"")</f>
        <v/>
      </c>
      <c r="C4" s="10" t="str">
        <f>IF(MONTH((DATE(年間!$C$1,7,1)-WEEKDAY(DATE(年間!$C$1,7,1))+3))=7,IFERROR(VLOOKUP((DATE(年間!$C$1,7,1)-WEEKDAY(DATE(年間!$C$1,7,1))+3),祝日!$A$2:$B$75,2,FALSE),""),"")</f>
        <v/>
      </c>
      <c r="D4" s="10" t="str">
        <f>IF(MONTH((DATE(年間!$C$1,7,1)-WEEKDAY(DATE(年間!$C$1,7,1))+4))=7,IFERROR(VLOOKUP((DATE(年間!$C$1,7,1)-WEEKDAY(DATE(年間!$C$1,7,1))+4),祝日!$A$2:$B$75,2,FALSE),""),"")</f>
        <v/>
      </c>
      <c r="E4" s="10" t="str">
        <f>IF(MONTH((DATE(年間!$C$1,7,1)-WEEKDAY(DATE(年間!$C$1,7,1))+5))=7,IFERROR(VLOOKUP((DATE(年間!$C$1,7,1)-WEEKDAY(DATE(年間!$C$1,7,1))+5),祝日!$A$2:$B$75,2,FALSE),""),"")</f>
        <v/>
      </c>
      <c r="F4" s="10" t="str">
        <f>IF(MONTH((DATE(年間!$C$1,7,1)-WEEKDAY(DATE(年間!$C$1,7,1))+6))=7,IFERROR(VLOOKUP((DATE(年間!$C$1,7,1)-WEEKDAY(DATE(年間!$C$1,7,1))+6),祝日!$A$2:$B$75,2,FALSE),""),"")</f>
        <v/>
      </c>
      <c r="G4" s="10" t="str">
        <f>IF(MONTH((DATE(年間!$C$1,7,1)-WEEKDAY(DATE(年間!$C$1,7,1))+7))=7,IFERROR(VLOOKUP((DATE(年間!$C$1,7,1)-WEEKDAY(DATE(年間!$C$1,7,1))+7),祝日!$A$2:$B$75,2,FALSE),""),"")</f>
        <v/>
      </c>
    </row>
    <row r="5" spans="1:7" ht="26" customHeight="1" x14ac:dyDescent="0.2">
      <c r="A5" s="9">
        <f>IF(MONTH((DATE(年間!$C$1,7,1)-WEEKDAY(DATE(年間!$C$1,7,1))+8))=7,DAY((DATE(年間!$C$1,7,1)-WEEKDAY(DATE(年間!$C$1,7,1))+8)),"")</f>
        <v>4</v>
      </c>
      <c r="B5" s="9">
        <f>IF(MONTH((DATE(年間!$C$1,7,1)-WEEKDAY(DATE(年間!$C$1,7,1))+9))=7,DAY((DATE(年間!$C$1,7,1)-WEEKDAY(DATE(年間!$C$1,7,1))+9)),"")</f>
        <v>5</v>
      </c>
      <c r="C5" s="9">
        <f>IF(MONTH((DATE(年間!$C$1,7,1)-WEEKDAY(DATE(年間!$C$1,7,1))+10))=7,DAY((DATE(年間!$C$1,7,1)-WEEKDAY(DATE(年間!$C$1,7,1))+10)),"")</f>
        <v>6</v>
      </c>
      <c r="D5" s="9">
        <f>IF(MONTH((DATE(年間!$C$1,7,1)-WEEKDAY(DATE(年間!$C$1,7,1))+11))=7,DAY((DATE(年間!$C$1,7,1)-WEEKDAY(DATE(年間!$C$1,7,1))+11)),"")</f>
        <v>7</v>
      </c>
      <c r="E5" s="9">
        <f>IF(MONTH((DATE(年間!$C$1,7,1)-WEEKDAY(DATE(年間!$C$1,7,1))+12))=7,DAY((DATE(年間!$C$1,7,1)-WEEKDAY(DATE(年間!$C$1,7,1))+12)),"")</f>
        <v>8</v>
      </c>
      <c r="F5" s="9">
        <f>IF(MONTH((DATE(年間!$C$1,7,1)-WEEKDAY(DATE(年間!$C$1,7,1))+13))=7,DAY((DATE(年間!$C$1,7,1)-WEEKDAY(DATE(年間!$C$1,7,1))+13)),"")</f>
        <v>9</v>
      </c>
      <c r="G5" s="9">
        <f>IF(MONTH((DATE(年間!$C$1,7,1)-WEEKDAY(DATE(年間!$C$1,7,1))+14))=7,DAY((DATE(年間!$C$1,7,1)-WEEKDAY(DATE(年間!$C$1,7,1))+14)),"")</f>
        <v>10</v>
      </c>
    </row>
    <row r="6" spans="1:7" ht="50" customHeight="1" x14ac:dyDescent="0.2">
      <c r="A6" s="10" t="str">
        <f>IF(MONTH((DATE(年間!$C$1,7,1)-WEEKDAY(DATE(年間!$C$1,7,1))+8))=7,IFERROR(VLOOKUP((DATE(年間!$C$1,7,1)-WEEKDAY(DATE(年間!$C$1,7,1))+8),祝日!$A$2:$B$75,2,FALSE),""),"")</f>
        <v/>
      </c>
      <c r="B6" s="10" t="str">
        <f>IF(MONTH((DATE(年間!$C$1,7,1)-WEEKDAY(DATE(年間!$C$1,7,1))+9))=7,IFERROR(VLOOKUP((DATE(年間!$C$1,7,1)-WEEKDAY(DATE(年間!$C$1,7,1))+9),祝日!$A$2:$B$75,2,FALSE),""),"")</f>
        <v/>
      </c>
      <c r="C6" s="10" t="str">
        <f>IF(MONTH((DATE(年間!$C$1,7,1)-WEEKDAY(DATE(年間!$C$1,7,1))+10))=7,IFERROR(VLOOKUP((DATE(年間!$C$1,7,1)-WEEKDAY(DATE(年間!$C$1,7,1))+10),祝日!$A$2:$B$75,2,FALSE),""),"")</f>
        <v/>
      </c>
      <c r="D6" s="10" t="str">
        <f>IF(MONTH((DATE(年間!$C$1,7,1)-WEEKDAY(DATE(年間!$C$1,7,1))+11))=7,IFERROR(VLOOKUP((DATE(年間!$C$1,7,1)-WEEKDAY(DATE(年間!$C$1,7,1))+11),祝日!$A$2:$B$75,2,FALSE),""),"")</f>
        <v/>
      </c>
      <c r="E6" s="10" t="str">
        <f>IF(MONTH((DATE(年間!$C$1,7,1)-WEEKDAY(DATE(年間!$C$1,7,1))+12))=7,IFERROR(VLOOKUP((DATE(年間!$C$1,7,1)-WEEKDAY(DATE(年間!$C$1,7,1))+12),祝日!$A$2:$B$75,2,FALSE),""),"")</f>
        <v/>
      </c>
      <c r="F6" s="10" t="str">
        <f>IF(MONTH((DATE(年間!$C$1,7,1)-WEEKDAY(DATE(年間!$C$1,7,1))+13))=7,IFERROR(VLOOKUP((DATE(年間!$C$1,7,1)-WEEKDAY(DATE(年間!$C$1,7,1))+13),祝日!$A$2:$B$75,2,FALSE),""),"")</f>
        <v/>
      </c>
      <c r="G6" s="10" t="str">
        <f>IF(MONTH((DATE(年間!$C$1,7,1)-WEEKDAY(DATE(年間!$C$1,7,1))+14))=7,IFERROR(VLOOKUP((DATE(年間!$C$1,7,1)-WEEKDAY(DATE(年間!$C$1,7,1))+14),祝日!$A$2:$B$75,2,FALSE),""),"")</f>
        <v/>
      </c>
    </row>
    <row r="7" spans="1:7" ht="26" customHeight="1" x14ac:dyDescent="0.2">
      <c r="A7" s="9">
        <f>IF(MONTH((DATE(年間!$C$1,7,1)-WEEKDAY(DATE(年間!$C$1,7,1))+15))=7,DAY((DATE(年間!$C$1,7,1)-WEEKDAY(DATE(年間!$C$1,7,1))+15)),"")</f>
        <v>11</v>
      </c>
      <c r="B7" s="9">
        <f>IF(MONTH((DATE(年間!$C$1,7,1)-WEEKDAY(DATE(年間!$C$1,7,1))+16))=7,DAY((DATE(年間!$C$1,7,1)-WEEKDAY(DATE(年間!$C$1,7,1))+16)),"")</f>
        <v>12</v>
      </c>
      <c r="C7" s="9">
        <f>IF(MONTH((DATE(年間!$C$1,7,1)-WEEKDAY(DATE(年間!$C$1,7,1))+17))=7,DAY((DATE(年間!$C$1,7,1)-WEEKDAY(DATE(年間!$C$1,7,1))+17)),"")</f>
        <v>13</v>
      </c>
      <c r="D7" s="9">
        <f>IF(MONTH((DATE(年間!$C$1,7,1)-WEEKDAY(DATE(年間!$C$1,7,1))+18))=7,DAY((DATE(年間!$C$1,7,1)-WEEKDAY(DATE(年間!$C$1,7,1))+18)),"")</f>
        <v>14</v>
      </c>
      <c r="E7" s="9">
        <f>IF(MONTH((DATE(年間!$C$1,7,1)-WEEKDAY(DATE(年間!$C$1,7,1))+19))=7,DAY((DATE(年間!$C$1,7,1)-WEEKDAY(DATE(年間!$C$1,7,1))+19)),"")</f>
        <v>15</v>
      </c>
      <c r="F7" s="9">
        <f>IF(MONTH((DATE(年間!$C$1,7,1)-WEEKDAY(DATE(年間!$C$1,7,1))+20))=7,DAY((DATE(年間!$C$1,7,1)-WEEKDAY(DATE(年間!$C$1,7,1))+20)),"")</f>
        <v>16</v>
      </c>
      <c r="G7" s="9">
        <f>IF(MONTH((DATE(年間!$C$1,7,1)-WEEKDAY(DATE(年間!$C$1,7,1))+21))=7,DAY((DATE(年間!$C$1,7,1)-WEEKDAY(DATE(年間!$C$1,7,1))+21)),"")</f>
        <v>17</v>
      </c>
    </row>
    <row r="8" spans="1:7" ht="50" customHeight="1" x14ac:dyDescent="0.2">
      <c r="A8" s="10" t="str">
        <f>IF(MONTH((DATE(年間!$C$1,7,1)-WEEKDAY(DATE(年間!$C$1,7,1))+15))=7,IFERROR(VLOOKUP((DATE(年間!$C$1,7,1)-WEEKDAY(DATE(年間!$C$1,7,1))+15),祝日!$A$2:$B$75,2,FALSE),""),"")</f>
        <v/>
      </c>
      <c r="B8" s="10" t="str">
        <f>IF(MONTH((DATE(年間!$C$1,7,1)-WEEKDAY(DATE(年間!$C$1,7,1))+16))=7,IFERROR(VLOOKUP((DATE(年間!$C$1,7,1)-WEEKDAY(DATE(年間!$C$1,7,1))+16),祝日!$A$2:$B$75,2,FALSE),""),"")</f>
        <v/>
      </c>
      <c r="C8" s="10" t="str">
        <f>IF(MONTH((DATE(年間!$C$1,7,1)-WEEKDAY(DATE(年間!$C$1,7,1))+17))=7,IFERROR(VLOOKUP((DATE(年間!$C$1,7,1)-WEEKDAY(DATE(年間!$C$1,7,1))+17),祝日!$A$2:$B$75,2,FALSE),""),"")</f>
        <v/>
      </c>
      <c r="D8" s="10" t="str">
        <f>IF(MONTH((DATE(年間!$C$1,7,1)-WEEKDAY(DATE(年間!$C$1,7,1))+18))=7,IFERROR(VLOOKUP((DATE(年間!$C$1,7,1)-WEEKDAY(DATE(年間!$C$1,7,1))+18),祝日!$A$2:$B$75,2,FALSE),""),"")</f>
        <v/>
      </c>
      <c r="E8" s="10" t="str">
        <f>IF(MONTH((DATE(年間!$C$1,7,1)-WEEKDAY(DATE(年間!$C$1,7,1))+19))=7,IFERROR(VLOOKUP((DATE(年間!$C$1,7,1)-WEEKDAY(DATE(年間!$C$1,7,1))+19),祝日!$A$2:$B$75,2,FALSE),""),"")</f>
        <v/>
      </c>
      <c r="F8" s="10" t="str">
        <f>IF(MONTH((DATE(年間!$C$1,7,1)-WEEKDAY(DATE(年間!$C$1,7,1))+20))=7,IFERROR(VLOOKUP((DATE(年間!$C$1,7,1)-WEEKDAY(DATE(年間!$C$1,7,1))+20),祝日!$A$2:$B$75,2,FALSE),""),"")</f>
        <v/>
      </c>
      <c r="G8" s="10" t="str">
        <f>IF(MONTH((DATE(年間!$C$1,7,1)-WEEKDAY(DATE(年間!$C$1,7,1))+21))=7,IFERROR(VLOOKUP((DATE(年間!$C$1,7,1)-WEEKDAY(DATE(年間!$C$1,7,1))+21),祝日!$A$2:$B$75,2,FALSE),""),"")</f>
        <v/>
      </c>
    </row>
    <row r="9" spans="1:7" ht="26" customHeight="1" x14ac:dyDescent="0.2">
      <c r="A9" s="9">
        <f>IF(MONTH((DATE(年間!$C$1,7,1)-WEEKDAY(DATE(年間!$C$1,7,1))+22))=7,DAY((DATE(年間!$C$1,7,1)-WEEKDAY(DATE(年間!$C$1,7,1))+22)),"")</f>
        <v>18</v>
      </c>
      <c r="B9" s="9">
        <f>IF(MONTH((DATE(年間!$C$1,7,1)-WEEKDAY(DATE(年間!$C$1,7,1))+23))=7,DAY((DATE(年間!$C$1,7,1)-WEEKDAY(DATE(年間!$C$1,7,1))+23)),"")</f>
        <v>19</v>
      </c>
      <c r="C9" s="9">
        <f>IF(MONTH((DATE(年間!$C$1,7,1)-WEEKDAY(DATE(年間!$C$1,7,1))+24))=7,DAY((DATE(年間!$C$1,7,1)-WEEKDAY(DATE(年間!$C$1,7,1))+24)),"")</f>
        <v>20</v>
      </c>
      <c r="D9" s="9">
        <f>IF(MONTH((DATE(年間!$C$1,7,1)-WEEKDAY(DATE(年間!$C$1,7,1))+25))=7,DAY((DATE(年間!$C$1,7,1)-WEEKDAY(DATE(年間!$C$1,7,1))+25)),"")</f>
        <v>21</v>
      </c>
      <c r="E9" s="9">
        <f>IF(MONTH((DATE(年間!$C$1,7,1)-WEEKDAY(DATE(年間!$C$1,7,1))+26))=7,DAY((DATE(年間!$C$1,7,1)-WEEKDAY(DATE(年間!$C$1,7,1))+26)),"")</f>
        <v>22</v>
      </c>
      <c r="F9" s="9">
        <f>IF(MONTH((DATE(年間!$C$1,7,1)-WEEKDAY(DATE(年間!$C$1,7,1))+27))=7,DAY((DATE(年間!$C$1,7,1)-WEEKDAY(DATE(年間!$C$1,7,1))+27)),"")</f>
        <v>23</v>
      </c>
      <c r="G9" s="9">
        <f>IF(MONTH((DATE(年間!$C$1,7,1)-WEEKDAY(DATE(年間!$C$1,7,1))+28))=7,DAY((DATE(年間!$C$1,7,1)-WEEKDAY(DATE(年間!$C$1,7,1))+28)),"")</f>
        <v>24</v>
      </c>
    </row>
    <row r="10" spans="1:7" ht="50" customHeight="1" x14ac:dyDescent="0.2">
      <c r="A10" s="10" t="str">
        <f>IF(MONTH((DATE(年間!$C$1,7,1)-WEEKDAY(DATE(年間!$C$1,7,1))+22))=7,IFERROR(VLOOKUP((DATE(年間!$C$1,7,1)-WEEKDAY(DATE(年間!$C$1,7,1))+22),祝日!$A$2:$B$75,2,FALSE),""),"")</f>
        <v/>
      </c>
      <c r="B10" s="10" t="str">
        <f>IF(MONTH((DATE(年間!$C$1,7,1)-WEEKDAY(DATE(年間!$C$1,7,1))+23))=7,IFERROR(VLOOKUP((DATE(年間!$C$1,7,1)-WEEKDAY(DATE(年間!$C$1,7,1))+23),祝日!$A$2:$B$75,2,FALSE),""),"")</f>
        <v>海の日</v>
      </c>
      <c r="C10" s="10" t="str">
        <f>IF(MONTH((DATE(年間!$C$1,7,1)-WEEKDAY(DATE(年間!$C$1,7,1))+24))=7,IFERROR(VLOOKUP((DATE(年間!$C$1,7,1)-WEEKDAY(DATE(年間!$C$1,7,1))+24),祝日!$A$2:$B$75,2,FALSE),""),"")</f>
        <v/>
      </c>
      <c r="D10" s="10" t="str">
        <f>IF(MONTH((DATE(年間!$C$1,7,1)-WEEKDAY(DATE(年間!$C$1,7,1))+25))=7,IFERROR(VLOOKUP((DATE(年間!$C$1,7,1)-WEEKDAY(DATE(年間!$C$1,7,1))+25),祝日!$A$2:$B$75,2,FALSE),""),"")</f>
        <v/>
      </c>
      <c r="E10" s="10" t="str">
        <f>IF(MONTH((DATE(年間!$C$1,7,1)-WEEKDAY(DATE(年間!$C$1,7,1))+26))=7,IFERROR(VLOOKUP((DATE(年間!$C$1,7,1)-WEEKDAY(DATE(年間!$C$1,7,1))+26),祝日!$A$2:$B$75,2,FALSE),""),"")</f>
        <v/>
      </c>
      <c r="F10" s="10" t="str">
        <f>IF(MONTH((DATE(年間!$C$1,7,1)-WEEKDAY(DATE(年間!$C$1,7,1))+27))=7,IFERROR(VLOOKUP((DATE(年間!$C$1,7,1)-WEEKDAY(DATE(年間!$C$1,7,1))+27),祝日!$A$2:$B$75,2,FALSE),""),"")</f>
        <v/>
      </c>
      <c r="G10" s="10" t="str">
        <f>IF(MONTH((DATE(年間!$C$1,7,1)-WEEKDAY(DATE(年間!$C$1,7,1))+28))=7,IFERROR(VLOOKUP((DATE(年間!$C$1,7,1)-WEEKDAY(DATE(年間!$C$1,7,1))+28),祝日!$A$2:$B$75,2,FALSE),""),"")</f>
        <v/>
      </c>
    </row>
    <row r="11" spans="1:7" ht="26" customHeight="1" x14ac:dyDescent="0.2">
      <c r="A11" s="9">
        <f>IF(MONTH((DATE(年間!$C$1,7,1)-WEEKDAY(DATE(年間!$C$1,7,1))+29))=7,DAY((DATE(年間!$C$1,7,1)-WEEKDAY(DATE(年間!$C$1,7,1))+29)),"")</f>
        <v>25</v>
      </c>
      <c r="B11" s="9">
        <f>IF(MONTH((DATE(年間!$C$1,7,1)-WEEKDAY(DATE(年間!$C$1,7,1))+30))=7,DAY((DATE(年間!$C$1,7,1)-WEEKDAY(DATE(年間!$C$1,7,1))+30)),"")</f>
        <v>26</v>
      </c>
      <c r="C11" s="9">
        <f>IF(MONTH((DATE(年間!$C$1,7,1)-WEEKDAY(DATE(年間!$C$1,7,1))+31))=7,DAY((DATE(年間!$C$1,7,1)-WEEKDAY(DATE(年間!$C$1,7,1))+31)),"")</f>
        <v>27</v>
      </c>
      <c r="D11" s="9">
        <f>IF(MONTH((DATE(年間!$C$1,7,1)-WEEKDAY(DATE(年間!$C$1,7,1))+32))=7,DAY((DATE(年間!$C$1,7,1)-WEEKDAY(DATE(年間!$C$1,7,1))+32)),"")</f>
        <v>28</v>
      </c>
      <c r="E11" s="9">
        <f>IF(MONTH((DATE(年間!$C$1,7,1)-WEEKDAY(DATE(年間!$C$1,7,1))+33))=7,DAY((DATE(年間!$C$1,7,1)-WEEKDAY(DATE(年間!$C$1,7,1))+33)),"")</f>
        <v>29</v>
      </c>
      <c r="F11" s="9">
        <f>IF(MONTH((DATE(年間!$C$1,7,1)-WEEKDAY(DATE(年間!$C$1,7,1))+34))=7,DAY((DATE(年間!$C$1,7,1)-WEEKDAY(DATE(年間!$C$1,7,1))+34)),"")</f>
        <v>30</v>
      </c>
      <c r="G11" s="9">
        <f>IF(MONTH((DATE(年間!$C$1,7,1)-WEEKDAY(DATE(年間!$C$1,7,1))+35))=7,DAY((DATE(年間!$C$1,7,1)-WEEKDAY(DATE(年間!$C$1,7,1))+35)),"")</f>
        <v>31</v>
      </c>
    </row>
    <row r="12" spans="1:7" ht="50" customHeight="1" x14ac:dyDescent="0.2">
      <c r="A12" s="10" t="str">
        <f>IF(MONTH((DATE(年間!$C$1,7,1)-WEEKDAY(DATE(年間!$C$1,7,1))+29))=7,IFERROR(VLOOKUP((DATE(年間!$C$1,7,1)-WEEKDAY(DATE(年間!$C$1,7,1))+29),祝日!$A$2:$B$75,2,FALSE),""),"")</f>
        <v/>
      </c>
      <c r="B12" s="10" t="str">
        <f>IF(MONTH((DATE(年間!$C$1,7,1)-WEEKDAY(DATE(年間!$C$1,7,1))+30))=7,IFERROR(VLOOKUP((DATE(年間!$C$1,7,1)-WEEKDAY(DATE(年間!$C$1,7,1))+30),祝日!$A$2:$B$75,2,FALSE),""),"")</f>
        <v/>
      </c>
      <c r="C12" s="10" t="str">
        <f>IF(MONTH((DATE(年間!$C$1,7,1)-WEEKDAY(DATE(年間!$C$1,7,1))+31))=7,IFERROR(VLOOKUP((DATE(年間!$C$1,7,1)-WEEKDAY(DATE(年間!$C$1,7,1))+31),祝日!$A$2:$B$75,2,FALSE),""),"")</f>
        <v/>
      </c>
      <c r="D12" s="10" t="str">
        <f>IF(MONTH((DATE(年間!$C$1,7,1)-WEEKDAY(DATE(年間!$C$1,7,1))+32))=7,IFERROR(VLOOKUP((DATE(年間!$C$1,7,1)-WEEKDAY(DATE(年間!$C$1,7,1))+32),祝日!$A$2:$B$75,2,FALSE),""),"")</f>
        <v/>
      </c>
      <c r="E12" s="10" t="str">
        <f>IF(MONTH((DATE(年間!$C$1,7,1)-WEEKDAY(DATE(年間!$C$1,7,1))+33))=7,IFERROR(VLOOKUP((DATE(年間!$C$1,7,1)-WEEKDAY(DATE(年間!$C$1,7,1))+33),祝日!$A$2:$B$75,2,FALSE),""),"")</f>
        <v/>
      </c>
      <c r="F12" s="10" t="str">
        <f>IF(MONTH((DATE(年間!$C$1,7,1)-WEEKDAY(DATE(年間!$C$1,7,1))+34))=7,IFERROR(VLOOKUP((DATE(年間!$C$1,7,1)-WEEKDAY(DATE(年間!$C$1,7,1))+34),祝日!$A$2:$B$75,2,FALSE),""),"")</f>
        <v/>
      </c>
      <c r="G12" s="10" t="str">
        <f>IF(MONTH((DATE(年間!$C$1,7,1)-WEEKDAY(DATE(年間!$C$1,7,1))+35))=7,IFERROR(VLOOKUP((DATE(年間!$C$1,7,1)-WEEKDAY(DATE(年間!$C$1,7,1))+35),祝日!$A$2:$B$75,2,FALSE),""),"")</f>
        <v/>
      </c>
    </row>
    <row r="13" spans="1:7" ht="26" customHeight="1" x14ac:dyDescent="0.2">
      <c r="A13" s="9" t="str">
        <f>IF(MONTH((DATE(年間!$C$1,7,1)-WEEKDAY(DATE(年間!$C$1,7,1))+36))=7,DAY((DATE(年間!$C$1,7,1)-WEEKDAY(DATE(年間!$C$1,7,1))+36)),"")</f>
        <v/>
      </c>
      <c r="B13" s="9" t="str">
        <f>IF(MONTH((DATE(年間!$C$1,7,1)-WEEKDAY(DATE(年間!$C$1,7,1))+37))=7,DAY((DATE(年間!$C$1,7,1)-WEEKDAY(DATE(年間!$C$1,7,1))+37)),"")</f>
        <v/>
      </c>
      <c r="C13" s="9" t="str">
        <f>IF(MONTH((DATE(年間!$C$1,7,1)-WEEKDAY(DATE(年間!$C$1,7,1))+38))=7,DAY((DATE(年間!$C$1,7,1)-WEEKDAY(DATE(年間!$C$1,7,1))+38)),"")</f>
        <v/>
      </c>
      <c r="D13" s="9" t="str">
        <f>IF(MONTH((DATE(年間!$C$1,7,1)-WEEKDAY(DATE(年間!$C$1,7,1))+39))=7,DAY((DATE(年間!$C$1,7,1)-WEEKDAY(DATE(年間!$C$1,7,1))+39)),"")</f>
        <v/>
      </c>
      <c r="E13" s="9" t="str">
        <f>IF(MONTH((DATE(年間!$C$1,7,1)-WEEKDAY(DATE(年間!$C$1,7,1))+40))=7,DAY((DATE(年間!$C$1,7,1)-WEEKDAY(DATE(年間!$C$1,7,1))+40)),"")</f>
        <v/>
      </c>
      <c r="F13" s="9" t="str">
        <f>IF(MONTH((DATE(年間!$C$1,7,1)-WEEKDAY(DATE(年間!$C$1,7,1))+41))=7,DAY((DATE(年間!$C$1,7,1)-WEEKDAY(DATE(年間!$C$1,7,1))+41)),"")</f>
        <v/>
      </c>
      <c r="G13" s="9" t="str">
        <f>IF(MONTH((DATE(年間!$C$1,7,1)-WEEKDAY(DATE(年間!$C$1,7,1))+42))=7,DAY((DATE(年間!$C$1,7,1)-WEEKDAY(DATE(年間!$C$1,7,1))+42)),"")</f>
        <v/>
      </c>
    </row>
    <row r="14" spans="1:7" ht="50" customHeight="1" x14ac:dyDescent="0.2">
      <c r="A14" s="10" t="str">
        <f>IF(MONTH((DATE(年間!$C$1,7,1)-WEEKDAY(DATE(年間!$C$1,7,1))+36))=7,IFERROR(VLOOKUP((DATE(年間!$C$1,7,1)-WEEKDAY(DATE(年間!$C$1,7,1))+36),祝日!$A$2:$B$75,2,FALSE),""),"")</f>
        <v/>
      </c>
      <c r="B14" s="10" t="str">
        <f>IF(MONTH((DATE(年間!$C$1,7,1)-WEEKDAY(DATE(年間!$C$1,7,1))+37))=7,IFERROR(VLOOKUP((DATE(年間!$C$1,7,1)-WEEKDAY(DATE(年間!$C$1,7,1))+37),祝日!$A$2:$B$75,2,FALSE),""),"")</f>
        <v/>
      </c>
      <c r="C14" s="10" t="str">
        <f>IF(MONTH((DATE(年間!$C$1,7,1)-WEEKDAY(DATE(年間!$C$1,7,1))+38))=7,IFERROR(VLOOKUP((DATE(年間!$C$1,7,1)-WEEKDAY(DATE(年間!$C$1,7,1))+38),祝日!$A$2:$B$75,2,FALSE),""),"")</f>
        <v/>
      </c>
      <c r="D14" s="10" t="str">
        <f>IF(MONTH((DATE(年間!$C$1,7,1)-WEEKDAY(DATE(年間!$C$1,7,1))+39))=7,IFERROR(VLOOKUP((DATE(年間!$C$1,7,1)-WEEKDAY(DATE(年間!$C$1,7,1))+39),祝日!$A$2:$B$75,2,FALSE),""),"")</f>
        <v/>
      </c>
      <c r="E14" s="10" t="str">
        <f>IF(MONTH((DATE(年間!$C$1,7,1)-WEEKDAY(DATE(年間!$C$1,7,1))+40))=7,IFERROR(VLOOKUP((DATE(年間!$C$1,7,1)-WEEKDAY(DATE(年間!$C$1,7,1))+40),祝日!$A$2:$B$75,2,FALSE),""),"")</f>
        <v/>
      </c>
      <c r="F14" s="10" t="str">
        <f>IF(MONTH((DATE(年間!$C$1,7,1)-WEEKDAY(DATE(年間!$C$1,7,1))+41))=7,IFERROR(VLOOKUP((DATE(年間!$C$1,7,1)-WEEKDAY(DATE(年間!$C$1,7,1))+41),祝日!$A$2:$B$75,2,FALSE),""),"")</f>
        <v/>
      </c>
      <c r="G14" s="10" t="str">
        <f>IF(MONTH((DATE(年間!$C$1,7,1)-WEEKDAY(DATE(年間!$C$1,7,1))+42))=7,IFERROR(VLOOKUP((DATE(年間!$C$1,7,1)-WEEKDAY(DATE(年間!$C$1,7,1))+42),祝日!$A$2:$B$75,2,FALSE),""),"")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11" priority="1">
      <formula>AND(A3&lt;&gt;"",OR(COLUMN(A3)=1,A4&lt;&gt;""))</formula>
    </cfRule>
  </conditionalFormatting>
  <conditionalFormatting sqref="G3 G5 G7 G9 G11 G13">
    <cfRule type="expression" dxfId="10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8月"</f>
        <v>2027年 8月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>
        <f>IF(MONTH((DATE(年間!$C$1,8,1)-WEEKDAY(DATE(年間!$C$1,8,1))+1))=8,DAY((DATE(年間!$C$1,8,1)-WEEKDAY(DATE(年間!$C$1,8,1))+1)),"")</f>
        <v>1</v>
      </c>
      <c r="B3" s="9">
        <f>IF(MONTH((DATE(年間!$C$1,8,1)-WEEKDAY(DATE(年間!$C$1,8,1))+2))=8,DAY((DATE(年間!$C$1,8,1)-WEEKDAY(DATE(年間!$C$1,8,1))+2)),"")</f>
        <v>2</v>
      </c>
      <c r="C3" s="9">
        <f>IF(MONTH((DATE(年間!$C$1,8,1)-WEEKDAY(DATE(年間!$C$1,8,1))+3))=8,DAY((DATE(年間!$C$1,8,1)-WEEKDAY(DATE(年間!$C$1,8,1))+3)),"")</f>
        <v>3</v>
      </c>
      <c r="D3" s="9">
        <f>IF(MONTH((DATE(年間!$C$1,8,1)-WEEKDAY(DATE(年間!$C$1,8,1))+4))=8,DAY((DATE(年間!$C$1,8,1)-WEEKDAY(DATE(年間!$C$1,8,1))+4)),"")</f>
        <v>4</v>
      </c>
      <c r="E3" s="9">
        <f>IF(MONTH((DATE(年間!$C$1,8,1)-WEEKDAY(DATE(年間!$C$1,8,1))+5))=8,DAY((DATE(年間!$C$1,8,1)-WEEKDAY(DATE(年間!$C$1,8,1))+5)),"")</f>
        <v>5</v>
      </c>
      <c r="F3" s="9">
        <f>IF(MONTH((DATE(年間!$C$1,8,1)-WEEKDAY(DATE(年間!$C$1,8,1))+6))=8,DAY((DATE(年間!$C$1,8,1)-WEEKDAY(DATE(年間!$C$1,8,1))+6)),"")</f>
        <v>6</v>
      </c>
      <c r="G3" s="9">
        <f>IF(MONTH((DATE(年間!$C$1,8,1)-WEEKDAY(DATE(年間!$C$1,8,1))+7))=8,DAY((DATE(年間!$C$1,8,1)-WEEKDAY(DATE(年間!$C$1,8,1))+7)),"")</f>
        <v>7</v>
      </c>
    </row>
    <row r="4" spans="1:7" ht="50" customHeight="1" x14ac:dyDescent="0.2">
      <c r="A4" s="10" t="str">
        <f>IF(MONTH((DATE(年間!$C$1,8,1)-WEEKDAY(DATE(年間!$C$1,8,1))+1))=8,IFERROR(VLOOKUP((DATE(年間!$C$1,8,1)-WEEKDAY(DATE(年間!$C$1,8,1))+1),祝日!$A$2:$B$75,2,FALSE),""),"")</f>
        <v/>
      </c>
      <c r="B4" s="10" t="str">
        <f>IF(MONTH((DATE(年間!$C$1,8,1)-WEEKDAY(DATE(年間!$C$1,8,1))+2))=8,IFERROR(VLOOKUP((DATE(年間!$C$1,8,1)-WEEKDAY(DATE(年間!$C$1,8,1))+2),祝日!$A$2:$B$75,2,FALSE),""),"")</f>
        <v/>
      </c>
      <c r="C4" s="10" t="str">
        <f>IF(MONTH((DATE(年間!$C$1,8,1)-WEEKDAY(DATE(年間!$C$1,8,1))+3))=8,IFERROR(VLOOKUP((DATE(年間!$C$1,8,1)-WEEKDAY(DATE(年間!$C$1,8,1))+3),祝日!$A$2:$B$75,2,FALSE),""),"")</f>
        <v/>
      </c>
      <c r="D4" s="10" t="str">
        <f>IF(MONTH((DATE(年間!$C$1,8,1)-WEEKDAY(DATE(年間!$C$1,8,1))+4))=8,IFERROR(VLOOKUP((DATE(年間!$C$1,8,1)-WEEKDAY(DATE(年間!$C$1,8,1))+4),祝日!$A$2:$B$75,2,FALSE),""),"")</f>
        <v/>
      </c>
      <c r="E4" s="10" t="str">
        <f>IF(MONTH((DATE(年間!$C$1,8,1)-WEEKDAY(DATE(年間!$C$1,8,1))+5))=8,IFERROR(VLOOKUP((DATE(年間!$C$1,8,1)-WEEKDAY(DATE(年間!$C$1,8,1))+5),祝日!$A$2:$B$75,2,FALSE),""),"")</f>
        <v/>
      </c>
      <c r="F4" s="10" t="str">
        <f>IF(MONTH((DATE(年間!$C$1,8,1)-WEEKDAY(DATE(年間!$C$1,8,1))+6))=8,IFERROR(VLOOKUP((DATE(年間!$C$1,8,1)-WEEKDAY(DATE(年間!$C$1,8,1))+6),祝日!$A$2:$B$75,2,FALSE),""),"")</f>
        <v/>
      </c>
      <c r="G4" s="10" t="str">
        <f>IF(MONTH((DATE(年間!$C$1,8,1)-WEEKDAY(DATE(年間!$C$1,8,1))+7))=8,IFERROR(VLOOKUP((DATE(年間!$C$1,8,1)-WEEKDAY(DATE(年間!$C$1,8,1))+7),祝日!$A$2:$B$75,2,FALSE),""),"")</f>
        <v/>
      </c>
    </row>
    <row r="5" spans="1:7" ht="26" customHeight="1" x14ac:dyDescent="0.2">
      <c r="A5" s="9">
        <f>IF(MONTH((DATE(年間!$C$1,8,1)-WEEKDAY(DATE(年間!$C$1,8,1))+8))=8,DAY((DATE(年間!$C$1,8,1)-WEEKDAY(DATE(年間!$C$1,8,1))+8)),"")</f>
        <v>8</v>
      </c>
      <c r="B5" s="9">
        <f>IF(MONTH((DATE(年間!$C$1,8,1)-WEEKDAY(DATE(年間!$C$1,8,1))+9))=8,DAY((DATE(年間!$C$1,8,1)-WEEKDAY(DATE(年間!$C$1,8,1))+9)),"")</f>
        <v>9</v>
      </c>
      <c r="C5" s="9">
        <f>IF(MONTH((DATE(年間!$C$1,8,1)-WEEKDAY(DATE(年間!$C$1,8,1))+10))=8,DAY((DATE(年間!$C$1,8,1)-WEEKDAY(DATE(年間!$C$1,8,1))+10)),"")</f>
        <v>10</v>
      </c>
      <c r="D5" s="9">
        <f>IF(MONTH((DATE(年間!$C$1,8,1)-WEEKDAY(DATE(年間!$C$1,8,1))+11))=8,DAY((DATE(年間!$C$1,8,1)-WEEKDAY(DATE(年間!$C$1,8,1))+11)),"")</f>
        <v>11</v>
      </c>
      <c r="E5" s="9">
        <f>IF(MONTH((DATE(年間!$C$1,8,1)-WEEKDAY(DATE(年間!$C$1,8,1))+12))=8,DAY((DATE(年間!$C$1,8,1)-WEEKDAY(DATE(年間!$C$1,8,1))+12)),"")</f>
        <v>12</v>
      </c>
      <c r="F5" s="9">
        <f>IF(MONTH((DATE(年間!$C$1,8,1)-WEEKDAY(DATE(年間!$C$1,8,1))+13))=8,DAY((DATE(年間!$C$1,8,1)-WEEKDAY(DATE(年間!$C$1,8,1))+13)),"")</f>
        <v>13</v>
      </c>
      <c r="G5" s="9">
        <f>IF(MONTH((DATE(年間!$C$1,8,1)-WEEKDAY(DATE(年間!$C$1,8,1))+14))=8,DAY((DATE(年間!$C$1,8,1)-WEEKDAY(DATE(年間!$C$1,8,1))+14)),"")</f>
        <v>14</v>
      </c>
    </row>
    <row r="6" spans="1:7" ht="50" customHeight="1" x14ac:dyDescent="0.2">
      <c r="A6" s="10" t="str">
        <f>IF(MONTH((DATE(年間!$C$1,8,1)-WEEKDAY(DATE(年間!$C$1,8,1))+8))=8,IFERROR(VLOOKUP((DATE(年間!$C$1,8,1)-WEEKDAY(DATE(年間!$C$1,8,1))+8),祝日!$A$2:$B$75,2,FALSE),""),"")</f>
        <v/>
      </c>
      <c r="B6" s="10" t="str">
        <f>IF(MONTH((DATE(年間!$C$1,8,1)-WEEKDAY(DATE(年間!$C$1,8,1))+9))=8,IFERROR(VLOOKUP((DATE(年間!$C$1,8,1)-WEEKDAY(DATE(年間!$C$1,8,1))+9),祝日!$A$2:$B$75,2,FALSE),""),"")</f>
        <v/>
      </c>
      <c r="C6" s="10" t="str">
        <f>IF(MONTH((DATE(年間!$C$1,8,1)-WEEKDAY(DATE(年間!$C$1,8,1))+10))=8,IFERROR(VLOOKUP((DATE(年間!$C$1,8,1)-WEEKDAY(DATE(年間!$C$1,8,1))+10),祝日!$A$2:$B$75,2,FALSE),""),"")</f>
        <v/>
      </c>
      <c r="D6" s="10" t="str">
        <f>IF(MONTH((DATE(年間!$C$1,8,1)-WEEKDAY(DATE(年間!$C$1,8,1))+11))=8,IFERROR(VLOOKUP((DATE(年間!$C$1,8,1)-WEEKDAY(DATE(年間!$C$1,8,1))+11),祝日!$A$2:$B$75,2,FALSE),""),"")</f>
        <v>山の日</v>
      </c>
      <c r="E6" s="10" t="str">
        <f>IF(MONTH((DATE(年間!$C$1,8,1)-WEEKDAY(DATE(年間!$C$1,8,1))+12))=8,IFERROR(VLOOKUP((DATE(年間!$C$1,8,1)-WEEKDAY(DATE(年間!$C$1,8,1))+12),祝日!$A$2:$B$75,2,FALSE),""),"")</f>
        <v/>
      </c>
      <c r="F6" s="10" t="str">
        <f>IF(MONTH((DATE(年間!$C$1,8,1)-WEEKDAY(DATE(年間!$C$1,8,1))+13))=8,IFERROR(VLOOKUP((DATE(年間!$C$1,8,1)-WEEKDAY(DATE(年間!$C$1,8,1))+13),祝日!$A$2:$B$75,2,FALSE),""),"")</f>
        <v/>
      </c>
      <c r="G6" s="10" t="str">
        <f>IF(MONTH((DATE(年間!$C$1,8,1)-WEEKDAY(DATE(年間!$C$1,8,1))+14))=8,IFERROR(VLOOKUP((DATE(年間!$C$1,8,1)-WEEKDAY(DATE(年間!$C$1,8,1))+14),祝日!$A$2:$B$75,2,FALSE),""),"")</f>
        <v/>
      </c>
    </row>
    <row r="7" spans="1:7" ht="26" customHeight="1" x14ac:dyDescent="0.2">
      <c r="A7" s="9">
        <f>IF(MONTH((DATE(年間!$C$1,8,1)-WEEKDAY(DATE(年間!$C$1,8,1))+15))=8,DAY((DATE(年間!$C$1,8,1)-WEEKDAY(DATE(年間!$C$1,8,1))+15)),"")</f>
        <v>15</v>
      </c>
      <c r="B7" s="9">
        <f>IF(MONTH((DATE(年間!$C$1,8,1)-WEEKDAY(DATE(年間!$C$1,8,1))+16))=8,DAY((DATE(年間!$C$1,8,1)-WEEKDAY(DATE(年間!$C$1,8,1))+16)),"")</f>
        <v>16</v>
      </c>
      <c r="C7" s="9">
        <f>IF(MONTH((DATE(年間!$C$1,8,1)-WEEKDAY(DATE(年間!$C$1,8,1))+17))=8,DAY((DATE(年間!$C$1,8,1)-WEEKDAY(DATE(年間!$C$1,8,1))+17)),"")</f>
        <v>17</v>
      </c>
      <c r="D7" s="9">
        <f>IF(MONTH((DATE(年間!$C$1,8,1)-WEEKDAY(DATE(年間!$C$1,8,1))+18))=8,DAY((DATE(年間!$C$1,8,1)-WEEKDAY(DATE(年間!$C$1,8,1))+18)),"")</f>
        <v>18</v>
      </c>
      <c r="E7" s="9">
        <f>IF(MONTH((DATE(年間!$C$1,8,1)-WEEKDAY(DATE(年間!$C$1,8,1))+19))=8,DAY((DATE(年間!$C$1,8,1)-WEEKDAY(DATE(年間!$C$1,8,1))+19)),"")</f>
        <v>19</v>
      </c>
      <c r="F7" s="9">
        <f>IF(MONTH((DATE(年間!$C$1,8,1)-WEEKDAY(DATE(年間!$C$1,8,1))+20))=8,DAY((DATE(年間!$C$1,8,1)-WEEKDAY(DATE(年間!$C$1,8,1))+20)),"")</f>
        <v>20</v>
      </c>
      <c r="G7" s="9">
        <f>IF(MONTH((DATE(年間!$C$1,8,1)-WEEKDAY(DATE(年間!$C$1,8,1))+21))=8,DAY((DATE(年間!$C$1,8,1)-WEEKDAY(DATE(年間!$C$1,8,1))+21)),"")</f>
        <v>21</v>
      </c>
    </row>
    <row r="8" spans="1:7" ht="50" customHeight="1" x14ac:dyDescent="0.2">
      <c r="A8" s="10" t="str">
        <f>IF(MONTH((DATE(年間!$C$1,8,1)-WEEKDAY(DATE(年間!$C$1,8,1))+15))=8,IFERROR(VLOOKUP((DATE(年間!$C$1,8,1)-WEEKDAY(DATE(年間!$C$1,8,1))+15),祝日!$A$2:$B$75,2,FALSE),""),"")</f>
        <v/>
      </c>
      <c r="B8" s="10" t="str">
        <f>IF(MONTH((DATE(年間!$C$1,8,1)-WEEKDAY(DATE(年間!$C$1,8,1))+16))=8,IFERROR(VLOOKUP((DATE(年間!$C$1,8,1)-WEEKDAY(DATE(年間!$C$1,8,1))+16),祝日!$A$2:$B$75,2,FALSE),""),"")</f>
        <v/>
      </c>
      <c r="C8" s="10" t="str">
        <f>IF(MONTH((DATE(年間!$C$1,8,1)-WEEKDAY(DATE(年間!$C$1,8,1))+17))=8,IFERROR(VLOOKUP((DATE(年間!$C$1,8,1)-WEEKDAY(DATE(年間!$C$1,8,1))+17),祝日!$A$2:$B$75,2,FALSE),""),"")</f>
        <v/>
      </c>
      <c r="D8" s="10" t="str">
        <f>IF(MONTH((DATE(年間!$C$1,8,1)-WEEKDAY(DATE(年間!$C$1,8,1))+18))=8,IFERROR(VLOOKUP((DATE(年間!$C$1,8,1)-WEEKDAY(DATE(年間!$C$1,8,1))+18),祝日!$A$2:$B$75,2,FALSE),""),"")</f>
        <v/>
      </c>
      <c r="E8" s="10" t="str">
        <f>IF(MONTH((DATE(年間!$C$1,8,1)-WEEKDAY(DATE(年間!$C$1,8,1))+19))=8,IFERROR(VLOOKUP((DATE(年間!$C$1,8,1)-WEEKDAY(DATE(年間!$C$1,8,1))+19),祝日!$A$2:$B$75,2,FALSE),""),"")</f>
        <v/>
      </c>
      <c r="F8" s="10" t="str">
        <f>IF(MONTH((DATE(年間!$C$1,8,1)-WEEKDAY(DATE(年間!$C$1,8,1))+20))=8,IFERROR(VLOOKUP((DATE(年間!$C$1,8,1)-WEEKDAY(DATE(年間!$C$1,8,1))+20),祝日!$A$2:$B$75,2,FALSE),""),"")</f>
        <v/>
      </c>
      <c r="G8" s="10" t="str">
        <f>IF(MONTH((DATE(年間!$C$1,8,1)-WEEKDAY(DATE(年間!$C$1,8,1))+21))=8,IFERROR(VLOOKUP((DATE(年間!$C$1,8,1)-WEEKDAY(DATE(年間!$C$1,8,1))+21),祝日!$A$2:$B$75,2,FALSE),""),"")</f>
        <v/>
      </c>
    </row>
    <row r="9" spans="1:7" ht="26" customHeight="1" x14ac:dyDescent="0.2">
      <c r="A9" s="9">
        <f>IF(MONTH((DATE(年間!$C$1,8,1)-WEEKDAY(DATE(年間!$C$1,8,1))+22))=8,DAY((DATE(年間!$C$1,8,1)-WEEKDAY(DATE(年間!$C$1,8,1))+22)),"")</f>
        <v>22</v>
      </c>
      <c r="B9" s="9">
        <f>IF(MONTH((DATE(年間!$C$1,8,1)-WEEKDAY(DATE(年間!$C$1,8,1))+23))=8,DAY((DATE(年間!$C$1,8,1)-WEEKDAY(DATE(年間!$C$1,8,1))+23)),"")</f>
        <v>23</v>
      </c>
      <c r="C9" s="9">
        <f>IF(MONTH((DATE(年間!$C$1,8,1)-WEEKDAY(DATE(年間!$C$1,8,1))+24))=8,DAY((DATE(年間!$C$1,8,1)-WEEKDAY(DATE(年間!$C$1,8,1))+24)),"")</f>
        <v>24</v>
      </c>
      <c r="D9" s="9">
        <f>IF(MONTH((DATE(年間!$C$1,8,1)-WEEKDAY(DATE(年間!$C$1,8,1))+25))=8,DAY((DATE(年間!$C$1,8,1)-WEEKDAY(DATE(年間!$C$1,8,1))+25)),"")</f>
        <v>25</v>
      </c>
      <c r="E9" s="9">
        <f>IF(MONTH((DATE(年間!$C$1,8,1)-WEEKDAY(DATE(年間!$C$1,8,1))+26))=8,DAY((DATE(年間!$C$1,8,1)-WEEKDAY(DATE(年間!$C$1,8,1))+26)),"")</f>
        <v>26</v>
      </c>
      <c r="F9" s="9">
        <f>IF(MONTH((DATE(年間!$C$1,8,1)-WEEKDAY(DATE(年間!$C$1,8,1))+27))=8,DAY((DATE(年間!$C$1,8,1)-WEEKDAY(DATE(年間!$C$1,8,1))+27)),"")</f>
        <v>27</v>
      </c>
      <c r="G9" s="9">
        <f>IF(MONTH((DATE(年間!$C$1,8,1)-WEEKDAY(DATE(年間!$C$1,8,1))+28))=8,DAY((DATE(年間!$C$1,8,1)-WEEKDAY(DATE(年間!$C$1,8,1))+28)),"")</f>
        <v>28</v>
      </c>
    </row>
    <row r="10" spans="1:7" ht="50" customHeight="1" x14ac:dyDescent="0.2">
      <c r="A10" s="10" t="str">
        <f>IF(MONTH((DATE(年間!$C$1,8,1)-WEEKDAY(DATE(年間!$C$1,8,1))+22))=8,IFERROR(VLOOKUP((DATE(年間!$C$1,8,1)-WEEKDAY(DATE(年間!$C$1,8,1))+22),祝日!$A$2:$B$75,2,FALSE),""),"")</f>
        <v/>
      </c>
      <c r="B10" s="10" t="str">
        <f>IF(MONTH((DATE(年間!$C$1,8,1)-WEEKDAY(DATE(年間!$C$1,8,1))+23))=8,IFERROR(VLOOKUP((DATE(年間!$C$1,8,1)-WEEKDAY(DATE(年間!$C$1,8,1))+23),祝日!$A$2:$B$75,2,FALSE),""),"")</f>
        <v/>
      </c>
      <c r="C10" s="10" t="str">
        <f>IF(MONTH((DATE(年間!$C$1,8,1)-WEEKDAY(DATE(年間!$C$1,8,1))+24))=8,IFERROR(VLOOKUP((DATE(年間!$C$1,8,1)-WEEKDAY(DATE(年間!$C$1,8,1))+24),祝日!$A$2:$B$75,2,FALSE),""),"")</f>
        <v/>
      </c>
      <c r="D10" s="10" t="str">
        <f>IF(MONTH((DATE(年間!$C$1,8,1)-WEEKDAY(DATE(年間!$C$1,8,1))+25))=8,IFERROR(VLOOKUP((DATE(年間!$C$1,8,1)-WEEKDAY(DATE(年間!$C$1,8,1))+25),祝日!$A$2:$B$75,2,FALSE),""),"")</f>
        <v/>
      </c>
      <c r="E10" s="10" t="str">
        <f>IF(MONTH((DATE(年間!$C$1,8,1)-WEEKDAY(DATE(年間!$C$1,8,1))+26))=8,IFERROR(VLOOKUP((DATE(年間!$C$1,8,1)-WEEKDAY(DATE(年間!$C$1,8,1))+26),祝日!$A$2:$B$75,2,FALSE),""),"")</f>
        <v/>
      </c>
      <c r="F10" s="10" t="str">
        <f>IF(MONTH((DATE(年間!$C$1,8,1)-WEEKDAY(DATE(年間!$C$1,8,1))+27))=8,IFERROR(VLOOKUP((DATE(年間!$C$1,8,1)-WEEKDAY(DATE(年間!$C$1,8,1))+27),祝日!$A$2:$B$75,2,FALSE),""),"")</f>
        <v/>
      </c>
      <c r="G10" s="10" t="str">
        <f>IF(MONTH((DATE(年間!$C$1,8,1)-WEEKDAY(DATE(年間!$C$1,8,1))+28))=8,IFERROR(VLOOKUP((DATE(年間!$C$1,8,1)-WEEKDAY(DATE(年間!$C$1,8,1))+28),祝日!$A$2:$B$75,2,FALSE),""),"")</f>
        <v/>
      </c>
    </row>
    <row r="11" spans="1:7" ht="26" customHeight="1" x14ac:dyDescent="0.2">
      <c r="A11" s="9">
        <f>IF(MONTH((DATE(年間!$C$1,8,1)-WEEKDAY(DATE(年間!$C$1,8,1))+29))=8,DAY((DATE(年間!$C$1,8,1)-WEEKDAY(DATE(年間!$C$1,8,1))+29)),"")</f>
        <v>29</v>
      </c>
      <c r="B11" s="9">
        <f>IF(MONTH((DATE(年間!$C$1,8,1)-WEEKDAY(DATE(年間!$C$1,8,1))+30))=8,DAY((DATE(年間!$C$1,8,1)-WEEKDAY(DATE(年間!$C$1,8,1))+30)),"")</f>
        <v>30</v>
      </c>
      <c r="C11" s="9">
        <f>IF(MONTH((DATE(年間!$C$1,8,1)-WEEKDAY(DATE(年間!$C$1,8,1))+31))=8,DAY((DATE(年間!$C$1,8,1)-WEEKDAY(DATE(年間!$C$1,8,1))+31)),"")</f>
        <v>31</v>
      </c>
      <c r="D11" s="9" t="str">
        <f>IF(MONTH((DATE(年間!$C$1,8,1)-WEEKDAY(DATE(年間!$C$1,8,1))+32))=8,DAY((DATE(年間!$C$1,8,1)-WEEKDAY(DATE(年間!$C$1,8,1))+32)),"")</f>
        <v/>
      </c>
      <c r="E11" s="9" t="str">
        <f>IF(MONTH((DATE(年間!$C$1,8,1)-WEEKDAY(DATE(年間!$C$1,8,1))+33))=8,DAY((DATE(年間!$C$1,8,1)-WEEKDAY(DATE(年間!$C$1,8,1))+33)),"")</f>
        <v/>
      </c>
      <c r="F11" s="9" t="str">
        <f>IF(MONTH((DATE(年間!$C$1,8,1)-WEEKDAY(DATE(年間!$C$1,8,1))+34))=8,DAY((DATE(年間!$C$1,8,1)-WEEKDAY(DATE(年間!$C$1,8,1))+34)),"")</f>
        <v/>
      </c>
      <c r="G11" s="9" t="str">
        <f>IF(MONTH((DATE(年間!$C$1,8,1)-WEEKDAY(DATE(年間!$C$1,8,1))+35))=8,DAY((DATE(年間!$C$1,8,1)-WEEKDAY(DATE(年間!$C$1,8,1))+35)),"")</f>
        <v/>
      </c>
    </row>
    <row r="12" spans="1:7" ht="50" customHeight="1" x14ac:dyDescent="0.2">
      <c r="A12" s="10" t="str">
        <f>IF(MONTH((DATE(年間!$C$1,8,1)-WEEKDAY(DATE(年間!$C$1,8,1))+29))=8,IFERROR(VLOOKUP((DATE(年間!$C$1,8,1)-WEEKDAY(DATE(年間!$C$1,8,1))+29),祝日!$A$2:$B$75,2,FALSE),""),"")</f>
        <v/>
      </c>
      <c r="B12" s="10" t="str">
        <f>IF(MONTH((DATE(年間!$C$1,8,1)-WEEKDAY(DATE(年間!$C$1,8,1))+30))=8,IFERROR(VLOOKUP((DATE(年間!$C$1,8,1)-WEEKDAY(DATE(年間!$C$1,8,1))+30),祝日!$A$2:$B$75,2,FALSE),""),"")</f>
        <v/>
      </c>
      <c r="C12" s="10" t="str">
        <f>IF(MONTH((DATE(年間!$C$1,8,1)-WEEKDAY(DATE(年間!$C$1,8,1))+31))=8,IFERROR(VLOOKUP((DATE(年間!$C$1,8,1)-WEEKDAY(DATE(年間!$C$1,8,1))+31),祝日!$A$2:$B$75,2,FALSE),""),"")</f>
        <v/>
      </c>
      <c r="D12" s="10" t="str">
        <f>IF(MONTH((DATE(年間!$C$1,8,1)-WEEKDAY(DATE(年間!$C$1,8,1))+32))=8,IFERROR(VLOOKUP((DATE(年間!$C$1,8,1)-WEEKDAY(DATE(年間!$C$1,8,1))+32),祝日!$A$2:$B$75,2,FALSE),""),"")</f>
        <v/>
      </c>
      <c r="E12" s="10" t="str">
        <f>IF(MONTH((DATE(年間!$C$1,8,1)-WEEKDAY(DATE(年間!$C$1,8,1))+33))=8,IFERROR(VLOOKUP((DATE(年間!$C$1,8,1)-WEEKDAY(DATE(年間!$C$1,8,1))+33),祝日!$A$2:$B$75,2,FALSE),""),"")</f>
        <v/>
      </c>
      <c r="F12" s="10" t="str">
        <f>IF(MONTH((DATE(年間!$C$1,8,1)-WEEKDAY(DATE(年間!$C$1,8,1))+34))=8,IFERROR(VLOOKUP((DATE(年間!$C$1,8,1)-WEEKDAY(DATE(年間!$C$1,8,1))+34),祝日!$A$2:$B$75,2,FALSE),""),"")</f>
        <v/>
      </c>
      <c r="G12" s="10" t="str">
        <f>IF(MONTH((DATE(年間!$C$1,8,1)-WEEKDAY(DATE(年間!$C$1,8,1))+35))=8,IFERROR(VLOOKUP((DATE(年間!$C$1,8,1)-WEEKDAY(DATE(年間!$C$1,8,1))+35),祝日!$A$2:$B$75,2,FALSE),""),"")</f>
        <v/>
      </c>
    </row>
    <row r="13" spans="1:7" ht="26" customHeight="1" x14ac:dyDescent="0.2">
      <c r="A13" s="9" t="str">
        <f>IF(MONTH((DATE(年間!$C$1,8,1)-WEEKDAY(DATE(年間!$C$1,8,1))+36))=8,DAY((DATE(年間!$C$1,8,1)-WEEKDAY(DATE(年間!$C$1,8,1))+36)),"")</f>
        <v/>
      </c>
      <c r="B13" s="9" t="str">
        <f>IF(MONTH((DATE(年間!$C$1,8,1)-WEEKDAY(DATE(年間!$C$1,8,1))+37))=8,DAY((DATE(年間!$C$1,8,1)-WEEKDAY(DATE(年間!$C$1,8,1))+37)),"")</f>
        <v/>
      </c>
      <c r="C13" s="9" t="str">
        <f>IF(MONTH((DATE(年間!$C$1,8,1)-WEEKDAY(DATE(年間!$C$1,8,1))+38))=8,DAY((DATE(年間!$C$1,8,1)-WEEKDAY(DATE(年間!$C$1,8,1))+38)),"")</f>
        <v/>
      </c>
      <c r="D13" s="9" t="str">
        <f>IF(MONTH((DATE(年間!$C$1,8,1)-WEEKDAY(DATE(年間!$C$1,8,1))+39))=8,DAY((DATE(年間!$C$1,8,1)-WEEKDAY(DATE(年間!$C$1,8,1))+39)),"")</f>
        <v/>
      </c>
      <c r="E13" s="9" t="str">
        <f>IF(MONTH((DATE(年間!$C$1,8,1)-WEEKDAY(DATE(年間!$C$1,8,1))+40))=8,DAY((DATE(年間!$C$1,8,1)-WEEKDAY(DATE(年間!$C$1,8,1))+40)),"")</f>
        <v/>
      </c>
      <c r="F13" s="9" t="str">
        <f>IF(MONTH((DATE(年間!$C$1,8,1)-WEEKDAY(DATE(年間!$C$1,8,1))+41))=8,DAY((DATE(年間!$C$1,8,1)-WEEKDAY(DATE(年間!$C$1,8,1))+41)),"")</f>
        <v/>
      </c>
      <c r="G13" s="9" t="str">
        <f>IF(MONTH((DATE(年間!$C$1,8,1)-WEEKDAY(DATE(年間!$C$1,8,1))+42))=8,DAY((DATE(年間!$C$1,8,1)-WEEKDAY(DATE(年間!$C$1,8,1))+42)),"")</f>
        <v/>
      </c>
    </row>
    <row r="14" spans="1:7" ht="50" customHeight="1" x14ac:dyDescent="0.2">
      <c r="A14" s="10" t="str">
        <f>IF(MONTH((DATE(年間!$C$1,8,1)-WEEKDAY(DATE(年間!$C$1,8,1))+36))=8,IFERROR(VLOOKUP((DATE(年間!$C$1,8,1)-WEEKDAY(DATE(年間!$C$1,8,1))+36),祝日!$A$2:$B$75,2,FALSE),""),"")</f>
        <v/>
      </c>
      <c r="B14" s="10" t="str">
        <f>IF(MONTH((DATE(年間!$C$1,8,1)-WEEKDAY(DATE(年間!$C$1,8,1))+37))=8,IFERROR(VLOOKUP((DATE(年間!$C$1,8,1)-WEEKDAY(DATE(年間!$C$1,8,1))+37),祝日!$A$2:$B$75,2,FALSE),""),"")</f>
        <v/>
      </c>
      <c r="C14" s="10" t="str">
        <f>IF(MONTH((DATE(年間!$C$1,8,1)-WEEKDAY(DATE(年間!$C$1,8,1))+38))=8,IFERROR(VLOOKUP((DATE(年間!$C$1,8,1)-WEEKDAY(DATE(年間!$C$1,8,1))+38),祝日!$A$2:$B$75,2,FALSE),""),"")</f>
        <v/>
      </c>
      <c r="D14" s="10" t="str">
        <f>IF(MONTH((DATE(年間!$C$1,8,1)-WEEKDAY(DATE(年間!$C$1,8,1))+39))=8,IFERROR(VLOOKUP((DATE(年間!$C$1,8,1)-WEEKDAY(DATE(年間!$C$1,8,1))+39),祝日!$A$2:$B$75,2,FALSE),""),"")</f>
        <v/>
      </c>
      <c r="E14" s="10" t="str">
        <f>IF(MONTH((DATE(年間!$C$1,8,1)-WEEKDAY(DATE(年間!$C$1,8,1))+40))=8,IFERROR(VLOOKUP((DATE(年間!$C$1,8,1)-WEEKDAY(DATE(年間!$C$1,8,1))+40),祝日!$A$2:$B$75,2,FALSE),""),"")</f>
        <v/>
      </c>
      <c r="F14" s="10" t="str">
        <f>IF(MONTH((DATE(年間!$C$1,8,1)-WEEKDAY(DATE(年間!$C$1,8,1))+41))=8,IFERROR(VLOOKUP((DATE(年間!$C$1,8,1)-WEEKDAY(DATE(年間!$C$1,8,1))+41),祝日!$A$2:$B$75,2,FALSE),""),"")</f>
        <v/>
      </c>
      <c r="G14" s="10" t="str">
        <f>IF(MONTH((DATE(年間!$C$1,8,1)-WEEKDAY(DATE(年間!$C$1,8,1))+42))=8,IFERROR(VLOOKUP((DATE(年間!$C$1,8,1)-WEEKDAY(DATE(年間!$C$1,8,1))+42),祝日!$A$2:$B$75,2,FALSE),""),"")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9" priority="1">
      <formula>AND(A3&lt;&gt;"",OR(COLUMN(A3)=1,A4&lt;&gt;""))</formula>
    </cfRule>
  </conditionalFormatting>
  <conditionalFormatting sqref="G3 G5 G7 G9 G11 G13">
    <cfRule type="expression" dxfId="8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9月"</f>
        <v>2027年 9月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IF(MONTH((DATE(年間!$C$1,9,1)-WEEKDAY(DATE(年間!$C$1,9,1))+1))=9,DAY((DATE(年間!$C$1,9,1)-WEEKDAY(DATE(年間!$C$1,9,1))+1)),"")</f>
        <v/>
      </c>
      <c r="B3" s="9" t="str">
        <f>IF(MONTH((DATE(年間!$C$1,9,1)-WEEKDAY(DATE(年間!$C$1,9,1))+2))=9,DAY((DATE(年間!$C$1,9,1)-WEEKDAY(DATE(年間!$C$1,9,1))+2)),"")</f>
        <v/>
      </c>
      <c r="C3" s="9" t="str">
        <f>IF(MONTH((DATE(年間!$C$1,9,1)-WEEKDAY(DATE(年間!$C$1,9,1))+3))=9,DAY((DATE(年間!$C$1,9,1)-WEEKDAY(DATE(年間!$C$1,9,1))+3)),"")</f>
        <v/>
      </c>
      <c r="D3" s="9">
        <f>IF(MONTH((DATE(年間!$C$1,9,1)-WEEKDAY(DATE(年間!$C$1,9,1))+4))=9,DAY((DATE(年間!$C$1,9,1)-WEEKDAY(DATE(年間!$C$1,9,1))+4)),"")</f>
        <v>1</v>
      </c>
      <c r="E3" s="9">
        <f>IF(MONTH((DATE(年間!$C$1,9,1)-WEEKDAY(DATE(年間!$C$1,9,1))+5))=9,DAY((DATE(年間!$C$1,9,1)-WEEKDAY(DATE(年間!$C$1,9,1))+5)),"")</f>
        <v>2</v>
      </c>
      <c r="F3" s="9">
        <f>IF(MONTH((DATE(年間!$C$1,9,1)-WEEKDAY(DATE(年間!$C$1,9,1))+6))=9,DAY((DATE(年間!$C$1,9,1)-WEEKDAY(DATE(年間!$C$1,9,1))+6)),"")</f>
        <v>3</v>
      </c>
      <c r="G3" s="9">
        <f>IF(MONTH((DATE(年間!$C$1,9,1)-WEEKDAY(DATE(年間!$C$1,9,1))+7))=9,DAY((DATE(年間!$C$1,9,1)-WEEKDAY(DATE(年間!$C$1,9,1))+7)),"")</f>
        <v>4</v>
      </c>
    </row>
    <row r="4" spans="1:7" ht="50" customHeight="1" x14ac:dyDescent="0.2">
      <c r="A4" s="10" t="str">
        <f>IF(MONTH((DATE(年間!$C$1,9,1)-WEEKDAY(DATE(年間!$C$1,9,1))+1))=9,IFERROR(VLOOKUP((DATE(年間!$C$1,9,1)-WEEKDAY(DATE(年間!$C$1,9,1))+1),祝日!$A$2:$B$75,2,FALSE),""),"")</f>
        <v/>
      </c>
      <c r="B4" s="10" t="str">
        <f>IF(MONTH((DATE(年間!$C$1,9,1)-WEEKDAY(DATE(年間!$C$1,9,1))+2))=9,IFERROR(VLOOKUP((DATE(年間!$C$1,9,1)-WEEKDAY(DATE(年間!$C$1,9,1))+2),祝日!$A$2:$B$75,2,FALSE),""),"")</f>
        <v/>
      </c>
      <c r="C4" s="10" t="str">
        <f>IF(MONTH((DATE(年間!$C$1,9,1)-WEEKDAY(DATE(年間!$C$1,9,1))+3))=9,IFERROR(VLOOKUP((DATE(年間!$C$1,9,1)-WEEKDAY(DATE(年間!$C$1,9,1))+3),祝日!$A$2:$B$75,2,FALSE),""),"")</f>
        <v/>
      </c>
      <c r="D4" s="10" t="str">
        <f>IF(MONTH((DATE(年間!$C$1,9,1)-WEEKDAY(DATE(年間!$C$1,9,1))+4))=9,IFERROR(VLOOKUP((DATE(年間!$C$1,9,1)-WEEKDAY(DATE(年間!$C$1,9,1))+4),祝日!$A$2:$B$75,2,FALSE),""),"")</f>
        <v/>
      </c>
      <c r="E4" s="10" t="str">
        <f>IF(MONTH((DATE(年間!$C$1,9,1)-WEEKDAY(DATE(年間!$C$1,9,1))+5))=9,IFERROR(VLOOKUP((DATE(年間!$C$1,9,1)-WEEKDAY(DATE(年間!$C$1,9,1))+5),祝日!$A$2:$B$75,2,FALSE),""),"")</f>
        <v/>
      </c>
      <c r="F4" s="10" t="str">
        <f>IF(MONTH((DATE(年間!$C$1,9,1)-WEEKDAY(DATE(年間!$C$1,9,1))+6))=9,IFERROR(VLOOKUP((DATE(年間!$C$1,9,1)-WEEKDAY(DATE(年間!$C$1,9,1))+6),祝日!$A$2:$B$75,2,FALSE),""),"")</f>
        <v/>
      </c>
      <c r="G4" s="10" t="str">
        <f>IF(MONTH((DATE(年間!$C$1,9,1)-WEEKDAY(DATE(年間!$C$1,9,1))+7))=9,IFERROR(VLOOKUP((DATE(年間!$C$1,9,1)-WEEKDAY(DATE(年間!$C$1,9,1))+7),祝日!$A$2:$B$75,2,FALSE),""),"")</f>
        <v/>
      </c>
    </row>
    <row r="5" spans="1:7" ht="26" customHeight="1" x14ac:dyDescent="0.2">
      <c r="A5" s="9">
        <f>IF(MONTH((DATE(年間!$C$1,9,1)-WEEKDAY(DATE(年間!$C$1,9,1))+8))=9,DAY((DATE(年間!$C$1,9,1)-WEEKDAY(DATE(年間!$C$1,9,1))+8)),"")</f>
        <v>5</v>
      </c>
      <c r="B5" s="9">
        <f>IF(MONTH((DATE(年間!$C$1,9,1)-WEEKDAY(DATE(年間!$C$1,9,1))+9))=9,DAY((DATE(年間!$C$1,9,1)-WEEKDAY(DATE(年間!$C$1,9,1))+9)),"")</f>
        <v>6</v>
      </c>
      <c r="C5" s="9">
        <f>IF(MONTH((DATE(年間!$C$1,9,1)-WEEKDAY(DATE(年間!$C$1,9,1))+10))=9,DAY((DATE(年間!$C$1,9,1)-WEEKDAY(DATE(年間!$C$1,9,1))+10)),"")</f>
        <v>7</v>
      </c>
      <c r="D5" s="9">
        <f>IF(MONTH((DATE(年間!$C$1,9,1)-WEEKDAY(DATE(年間!$C$1,9,1))+11))=9,DAY((DATE(年間!$C$1,9,1)-WEEKDAY(DATE(年間!$C$1,9,1))+11)),"")</f>
        <v>8</v>
      </c>
      <c r="E5" s="9">
        <f>IF(MONTH((DATE(年間!$C$1,9,1)-WEEKDAY(DATE(年間!$C$1,9,1))+12))=9,DAY((DATE(年間!$C$1,9,1)-WEEKDAY(DATE(年間!$C$1,9,1))+12)),"")</f>
        <v>9</v>
      </c>
      <c r="F5" s="9">
        <f>IF(MONTH((DATE(年間!$C$1,9,1)-WEEKDAY(DATE(年間!$C$1,9,1))+13))=9,DAY((DATE(年間!$C$1,9,1)-WEEKDAY(DATE(年間!$C$1,9,1))+13)),"")</f>
        <v>10</v>
      </c>
      <c r="G5" s="9">
        <f>IF(MONTH((DATE(年間!$C$1,9,1)-WEEKDAY(DATE(年間!$C$1,9,1))+14))=9,DAY((DATE(年間!$C$1,9,1)-WEEKDAY(DATE(年間!$C$1,9,1))+14)),"")</f>
        <v>11</v>
      </c>
    </row>
    <row r="6" spans="1:7" ht="50" customHeight="1" x14ac:dyDescent="0.2">
      <c r="A6" s="10" t="str">
        <f>IF(MONTH((DATE(年間!$C$1,9,1)-WEEKDAY(DATE(年間!$C$1,9,1))+8))=9,IFERROR(VLOOKUP((DATE(年間!$C$1,9,1)-WEEKDAY(DATE(年間!$C$1,9,1))+8),祝日!$A$2:$B$75,2,FALSE),""),"")</f>
        <v/>
      </c>
      <c r="B6" s="10" t="str">
        <f>IF(MONTH((DATE(年間!$C$1,9,1)-WEEKDAY(DATE(年間!$C$1,9,1))+9))=9,IFERROR(VLOOKUP((DATE(年間!$C$1,9,1)-WEEKDAY(DATE(年間!$C$1,9,1))+9),祝日!$A$2:$B$75,2,FALSE),""),"")</f>
        <v/>
      </c>
      <c r="C6" s="10" t="str">
        <f>IF(MONTH((DATE(年間!$C$1,9,1)-WEEKDAY(DATE(年間!$C$1,9,1))+10))=9,IFERROR(VLOOKUP((DATE(年間!$C$1,9,1)-WEEKDAY(DATE(年間!$C$1,9,1))+10),祝日!$A$2:$B$75,2,FALSE),""),"")</f>
        <v/>
      </c>
      <c r="D6" s="10" t="str">
        <f>IF(MONTH((DATE(年間!$C$1,9,1)-WEEKDAY(DATE(年間!$C$1,9,1))+11))=9,IFERROR(VLOOKUP((DATE(年間!$C$1,9,1)-WEEKDAY(DATE(年間!$C$1,9,1))+11),祝日!$A$2:$B$75,2,FALSE),""),"")</f>
        <v/>
      </c>
      <c r="E6" s="10" t="str">
        <f>IF(MONTH((DATE(年間!$C$1,9,1)-WEEKDAY(DATE(年間!$C$1,9,1))+12))=9,IFERROR(VLOOKUP((DATE(年間!$C$1,9,1)-WEEKDAY(DATE(年間!$C$1,9,1))+12),祝日!$A$2:$B$75,2,FALSE),""),"")</f>
        <v/>
      </c>
      <c r="F6" s="10" t="str">
        <f>IF(MONTH((DATE(年間!$C$1,9,1)-WEEKDAY(DATE(年間!$C$1,9,1))+13))=9,IFERROR(VLOOKUP((DATE(年間!$C$1,9,1)-WEEKDAY(DATE(年間!$C$1,9,1))+13),祝日!$A$2:$B$75,2,FALSE),""),"")</f>
        <v/>
      </c>
      <c r="G6" s="10" t="str">
        <f>IF(MONTH((DATE(年間!$C$1,9,1)-WEEKDAY(DATE(年間!$C$1,9,1))+14))=9,IFERROR(VLOOKUP((DATE(年間!$C$1,9,1)-WEEKDAY(DATE(年間!$C$1,9,1))+14),祝日!$A$2:$B$75,2,FALSE),""),"")</f>
        <v/>
      </c>
    </row>
    <row r="7" spans="1:7" ht="26" customHeight="1" x14ac:dyDescent="0.2">
      <c r="A7" s="9">
        <f>IF(MONTH((DATE(年間!$C$1,9,1)-WEEKDAY(DATE(年間!$C$1,9,1))+15))=9,DAY((DATE(年間!$C$1,9,1)-WEEKDAY(DATE(年間!$C$1,9,1))+15)),"")</f>
        <v>12</v>
      </c>
      <c r="B7" s="9">
        <f>IF(MONTH((DATE(年間!$C$1,9,1)-WEEKDAY(DATE(年間!$C$1,9,1))+16))=9,DAY((DATE(年間!$C$1,9,1)-WEEKDAY(DATE(年間!$C$1,9,1))+16)),"")</f>
        <v>13</v>
      </c>
      <c r="C7" s="9">
        <f>IF(MONTH((DATE(年間!$C$1,9,1)-WEEKDAY(DATE(年間!$C$1,9,1))+17))=9,DAY((DATE(年間!$C$1,9,1)-WEEKDAY(DATE(年間!$C$1,9,1))+17)),"")</f>
        <v>14</v>
      </c>
      <c r="D7" s="9">
        <f>IF(MONTH((DATE(年間!$C$1,9,1)-WEEKDAY(DATE(年間!$C$1,9,1))+18))=9,DAY((DATE(年間!$C$1,9,1)-WEEKDAY(DATE(年間!$C$1,9,1))+18)),"")</f>
        <v>15</v>
      </c>
      <c r="E7" s="9">
        <f>IF(MONTH((DATE(年間!$C$1,9,1)-WEEKDAY(DATE(年間!$C$1,9,1))+19))=9,DAY((DATE(年間!$C$1,9,1)-WEEKDAY(DATE(年間!$C$1,9,1))+19)),"")</f>
        <v>16</v>
      </c>
      <c r="F7" s="9">
        <f>IF(MONTH((DATE(年間!$C$1,9,1)-WEEKDAY(DATE(年間!$C$1,9,1))+20))=9,DAY((DATE(年間!$C$1,9,1)-WEEKDAY(DATE(年間!$C$1,9,1))+20)),"")</f>
        <v>17</v>
      </c>
      <c r="G7" s="9">
        <f>IF(MONTH((DATE(年間!$C$1,9,1)-WEEKDAY(DATE(年間!$C$1,9,1))+21))=9,DAY((DATE(年間!$C$1,9,1)-WEEKDAY(DATE(年間!$C$1,9,1))+21)),"")</f>
        <v>18</v>
      </c>
    </row>
    <row r="8" spans="1:7" ht="50" customHeight="1" x14ac:dyDescent="0.2">
      <c r="A8" s="10" t="str">
        <f>IF(MONTH((DATE(年間!$C$1,9,1)-WEEKDAY(DATE(年間!$C$1,9,1))+15))=9,IFERROR(VLOOKUP((DATE(年間!$C$1,9,1)-WEEKDAY(DATE(年間!$C$1,9,1))+15),祝日!$A$2:$B$75,2,FALSE),""),"")</f>
        <v/>
      </c>
      <c r="B8" s="10" t="str">
        <f>IF(MONTH((DATE(年間!$C$1,9,1)-WEEKDAY(DATE(年間!$C$1,9,1))+16))=9,IFERROR(VLOOKUP((DATE(年間!$C$1,9,1)-WEEKDAY(DATE(年間!$C$1,9,1))+16),祝日!$A$2:$B$75,2,FALSE),""),"")</f>
        <v/>
      </c>
      <c r="C8" s="10" t="str">
        <f>IF(MONTH((DATE(年間!$C$1,9,1)-WEEKDAY(DATE(年間!$C$1,9,1))+17))=9,IFERROR(VLOOKUP((DATE(年間!$C$1,9,1)-WEEKDAY(DATE(年間!$C$1,9,1))+17),祝日!$A$2:$B$75,2,FALSE),""),"")</f>
        <v/>
      </c>
      <c r="D8" s="10" t="str">
        <f>IF(MONTH((DATE(年間!$C$1,9,1)-WEEKDAY(DATE(年間!$C$1,9,1))+18))=9,IFERROR(VLOOKUP((DATE(年間!$C$1,9,1)-WEEKDAY(DATE(年間!$C$1,9,1))+18),祝日!$A$2:$B$75,2,FALSE),""),"")</f>
        <v/>
      </c>
      <c r="E8" s="10" t="str">
        <f>IF(MONTH((DATE(年間!$C$1,9,1)-WEEKDAY(DATE(年間!$C$1,9,1))+19))=9,IFERROR(VLOOKUP((DATE(年間!$C$1,9,1)-WEEKDAY(DATE(年間!$C$1,9,1))+19),祝日!$A$2:$B$75,2,FALSE),""),"")</f>
        <v/>
      </c>
      <c r="F8" s="10" t="str">
        <f>IF(MONTH((DATE(年間!$C$1,9,1)-WEEKDAY(DATE(年間!$C$1,9,1))+20))=9,IFERROR(VLOOKUP((DATE(年間!$C$1,9,1)-WEEKDAY(DATE(年間!$C$1,9,1))+20),祝日!$A$2:$B$75,2,FALSE),""),"")</f>
        <v/>
      </c>
      <c r="G8" s="10" t="str">
        <f>IF(MONTH((DATE(年間!$C$1,9,1)-WEEKDAY(DATE(年間!$C$1,9,1))+21))=9,IFERROR(VLOOKUP((DATE(年間!$C$1,9,1)-WEEKDAY(DATE(年間!$C$1,9,1))+21),祝日!$A$2:$B$75,2,FALSE),""),"")</f>
        <v/>
      </c>
    </row>
    <row r="9" spans="1:7" ht="26" customHeight="1" x14ac:dyDescent="0.2">
      <c r="A9" s="9">
        <f>IF(MONTH((DATE(年間!$C$1,9,1)-WEEKDAY(DATE(年間!$C$1,9,1))+22))=9,DAY((DATE(年間!$C$1,9,1)-WEEKDAY(DATE(年間!$C$1,9,1))+22)),"")</f>
        <v>19</v>
      </c>
      <c r="B9" s="9">
        <f>IF(MONTH((DATE(年間!$C$1,9,1)-WEEKDAY(DATE(年間!$C$1,9,1))+23))=9,DAY((DATE(年間!$C$1,9,1)-WEEKDAY(DATE(年間!$C$1,9,1))+23)),"")</f>
        <v>20</v>
      </c>
      <c r="C9" s="9">
        <f>IF(MONTH((DATE(年間!$C$1,9,1)-WEEKDAY(DATE(年間!$C$1,9,1))+24))=9,DAY((DATE(年間!$C$1,9,1)-WEEKDAY(DATE(年間!$C$1,9,1))+24)),"")</f>
        <v>21</v>
      </c>
      <c r="D9" s="9">
        <f>IF(MONTH((DATE(年間!$C$1,9,1)-WEEKDAY(DATE(年間!$C$1,9,1))+25))=9,DAY((DATE(年間!$C$1,9,1)-WEEKDAY(DATE(年間!$C$1,9,1))+25)),"")</f>
        <v>22</v>
      </c>
      <c r="E9" s="9">
        <f>IF(MONTH((DATE(年間!$C$1,9,1)-WEEKDAY(DATE(年間!$C$1,9,1))+26))=9,DAY((DATE(年間!$C$1,9,1)-WEEKDAY(DATE(年間!$C$1,9,1))+26)),"")</f>
        <v>23</v>
      </c>
      <c r="F9" s="9">
        <f>IF(MONTH((DATE(年間!$C$1,9,1)-WEEKDAY(DATE(年間!$C$1,9,1))+27))=9,DAY((DATE(年間!$C$1,9,1)-WEEKDAY(DATE(年間!$C$1,9,1))+27)),"")</f>
        <v>24</v>
      </c>
      <c r="G9" s="9">
        <f>IF(MONTH((DATE(年間!$C$1,9,1)-WEEKDAY(DATE(年間!$C$1,9,1))+28))=9,DAY((DATE(年間!$C$1,9,1)-WEEKDAY(DATE(年間!$C$1,9,1))+28)),"")</f>
        <v>25</v>
      </c>
    </row>
    <row r="10" spans="1:7" ht="50" customHeight="1" x14ac:dyDescent="0.2">
      <c r="A10" s="10" t="str">
        <f>IF(MONTH((DATE(年間!$C$1,9,1)-WEEKDAY(DATE(年間!$C$1,9,1))+22))=9,IFERROR(VLOOKUP((DATE(年間!$C$1,9,1)-WEEKDAY(DATE(年間!$C$1,9,1))+22),祝日!$A$2:$B$75,2,FALSE),""),"")</f>
        <v/>
      </c>
      <c r="B10" s="10" t="str">
        <f>IF(MONTH((DATE(年間!$C$1,9,1)-WEEKDAY(DATE(年間!$C$1,9,1))+23))=9,IFERROR(VLOOKUP((DATE(年間!$C$1,9,1)-WEEKDAY(DATE(年間!$C$1,9,1))+23),祝日!$A$2:$B$75,2,FALSE),""),"")</f>
        <v>敬老の日</v>
      </c>
      <c r="C10" s="10" t="str">
        <f>IF(MONTH((DATE(年間!$C$1,9,1)-WEEKDAY(DATE(年間!$C$1,9,1))+24))=9,IFERROR(VLOOKUP((DATE(年間!$C$1,9,1)-WEEKDAY(DATE(年間!$C$1,9,1))+24),祝日!$A$2:$B$75,2,FALSE),""),"")</f>
        <v/>
      </c>
      <c r="D10" s="10" t="str">
        <f>IF(MONTH((DATE(年間!$C$1,9,1)-WEEKDAY(DATE(年間!$C$1,9,1))+25))=9,IFERROR(VLOOKUP((DATE(年間!$C$1,9,1)-WEEKDAY(DATE(年間!$C$1,9,1))+25),祝日!$A$2:$B$75,2,FALSE),""),"")</f>
        <v/>
      </c>
      <c r="E10" s="10" t="str">
        <f>IF(MONTH((DATE(年間!$C$1,9,1)-WEEKDAY(DATE(年間!$C$1,9,1))+26))=9,IFERROR(VLOOKUP((DATE(年間!$C$1,9,1)-WEEKDAY(DATE(年間!$C$1,9,1))+26),祝日!$A$2:$B$75,2,FALSE),""),"")</f>
        <v>秋分の日</v>
      </c>
      <c r="F10" s="10" t="str">
        <f>IF(MONTH((DATE(年間!$C$1,9,1)-WEEKDAY(DATE(年間!$C$1,9,1))+27))=9,IFERROR(VLOOKUP((DATE(年間!$C$1,9,1)-WEEKDAY(DATE(年間!$C$1,9,1))+27),祝日!$A$2:$B$75,2,FALSE),""),"")</f>
        <v/>
      </c>
      <c r="G10" s="10" t="str">
        <f>IF(MONTH((DATE(年間!$C$1,9,1)-WEEKDAY(DATE(年間!$C$1,9,1))+28))=9,IFERROR(VLOOKUP((DATE(年間!$C$1,9,1)-WEEKDAY(DATE(年間!$C$1,9,1))+28),祝日!$A$2:$B$75,2,FALSE),""),"")</f>
        <v/>
      </c>
    </row>
    <row r="11" spans="1:7" ht="26" customHeight="1" x14ac:dyDescent="0.2">
      <c r="A11" s="9">
        <f>IF(MONTH((DATE(年間!$C$1,9,1)-WEEKDAY(DATE(年間!$C$1,9,1))+29))=9,DAY((DATE(年間!$C$1,9,1)-WEEKDAY(DATE(年間!$C$1,9,1))+29)),"")</f>
        <v>26</v>
      </c>
      <c r="B11" s="9">
        <f>IF(MONTH((DATE(年間!$C$1,9,1)-WEEKDAY(DATE(年間!$C$1,9,1))+30))=9,DAY((DATE(年間!$C$1,9,1)-WEEKDAY(DATE(年間!$C$1,9,1))+30)),"")</f>
        <v>27</v>
      </c>
      <c r="C11" s="9">
        <f>IF(MONTH((DATE(年間!$C$1,9,1)-WEEKDAY(DATE(年間!$C$1,9,1))+31))=9,DAY((DATE(年間!$C$1,9,1)-WEEKDAY(DATE(年間!$C$1,9,1))+31)),"")</f>
        <v>28</v>
      </c>
      <c r="D11" s="9">
        <f>IF(MONTH((DATE(年間!$C$1,9,1)-WEEKDAY(DATE(年間!$C$1,9,1))+32))=9,DAY((DATE(年間!$C$1,9,1)-WEEKDAY(DATE(年間!$C$1,9,1))+32)),"")</f>
        <v>29</v>
      </c>
      <c r="E11" s="9">
        <f>IF(MONTH((DATE(年間!$C$1,9,1)-WEEKDAY(DATE(年間!$C$1,9,1))+33))=9,DAY((DATE(年間!$C$1,9,1)-WEEKDAY(DATE(年間!$C$1,9,1))+33)),"")</f>
        <v>30</v>
      </c>
      <c r="F11" s="9" t="str">
        <f>IF(MONTH((DATE(年間!$C$1,9,1)-WEEKDAY(DATE(年間!$C$1,9,1))+34))=9,DAY((DATE(年間!$C$1,9,1)-WEEKDAY(DATE(年間!$C$1,9,1))+34)),"")</f>
        <v/>
      </c>
      <c r="G11" s="9" t="str">
        <f>IF(MONTH((DATE(年間!$C$1,9,1)-WEEKDAY(DATE(年間!$C$1,9,1))+35))=9,DAY((DATE(年間!$C$1,9,1)-WEEKDAY(DATE(年間!$C$1,9,1))+35)),"")</f>
        <v/>
      </c>
    </row>
    <row r="12" spans="1:7" ht="50" customHeight="1" x14ac:dyDescent="0.2">
      <c r="A12" s="10" t="str">
        <f>IF(MONTH((DATE(年間!$C$1,9,1)-WEEKDAY(DATE(年間!$C$1,9,1))+29))=9,IFERROR(VLOOKUP((DATE(年間!$C$1,9,1)-WEEKDAY(DATE(年間!$C$1,9,1))+29),祝日!$A$2:$B$75,2,FALSE),""),"")</f>
        <v/>
      </c>
      <c r="B12" s="10" t="str">
        <f>IF(MONTH((DATE(年間!$C$1,9,1)-WEEKDAY(DATE(年間!$C$1,9,1))+30))=9,IFERROR(VLOOKUP((DATE(年間!$C$1,9,1)-WEEKDAY(DATE(年間!$C$1,9,1))+30),祝日!$A$2:$B$75,2,FALSE),""),"")</f>
        <v/>
      </c>
      <c r="C12" s="10" t="str">
        <f>IF(MONTH((DATE(年間!$C$1,9,1)-WEEKDAY(DATE(年間!$C$1,9,1))+31))=9,IFERROR(VLOOKUP((DATE(年間!$C$1,9,1)-WEEKDAY(DATE(年間!$C$1,9,1))+31),祝日!$A$2:$B$75,2,FALSE),""),"")</f>
        <v/>
      </c>
      <c r="D12" s="10" t="str">
        <f>IF(MONTH((DATE(年間!$C$1,9,1)-WEEKDAY(DATE(年間!$C$1,9,1))+32))=9,IFERROR(VLOOKUP((DATE(年間!$C$1,9,1)-WEEKDAY(DATE(年間!$C$1,9,1))+32),祝日!$A$2:$B$75,2,FALSE),""),"")</f>
        <v/>
      </c>
      <c r="E12" s="10" t="str">
        <f>IF(MONTH((DATE(年間!$C$1,9,1)-WEEKDAY(DATE(年間!$C$1,9,1))+33))=9,IFERROR(VLOOKUP((DATE(年間!$C$1,9,1)-WEEKDAY(DATE(年間!$C$1,9,1))+33),祝日!$A$2:$B$75,2,FALSE),""),"")</f>
        <v/>
      </c>
      <c r="F12" s="10" t="str">
        <f>IF(MONTH((DATE(年間!$C$1,9,1)-WEEKDAY(DATE(年間!$C$1,9,1))+34))=9,IFERROR(VLOOKUP((DATE(年間!$C$1,9,1)-WEEKDAY(DATE(年間!$C$1,9,1))+34),祝日!$A$2:$B$75,2,FALSE),""),"")</f>
        <v/>
      </c>
      <c r="G12" s="10" t="str">
        <f>IF(MONTH((DATE(年間!$C$1,9,1)-WEEKDAY(DATE(年間!$C$1,9,1))+35))=9,IFERROR(VLOOKUP((DATE(年間!$C$1,9,1)-WEEKDAY(DATE(年間!$C$1,9,1))+35),祝日!$A$2:$B$75,2,FALSE),""),"")</f>
        <v/>
      </c>
    </row>
    <row r="13" spans="1:7" ht="26" customHeight="1" x14ac:dyDescent="0.2">
      <c r="A13" s="9" t="str">
        <f>IF(MONTH((DATE(年間!$C$1,9,1)-WEEKDAY(DATE(年間!$C$1,9,1))+36))=9,DAY((DATE(年間!$C$1,9,1)-WEEKDAY(DATE(年間!$C$1,9,1))+36)),"")</f>
        <v/>
      </c>
      <c r="B13" s="9" t="str">
        <f>IF(MONTH((DATE(年間!$C$1,9,1)-WEEKDAY(DATE(年間!$C$1,9,1))+37))=9,DAY((DATE(年間!$C$1,9,1)-WEEKDAY(DATE(年間!$C$1,9,1))+37)),"")</f>
        <v/>
      </c>
      <c r="C13" s="9" t="str">
        <f>IF(MONTH((DATE(年間!$C$1,9,1)-WEEKDAY(DATE(年間!$C$1,9,1))+38))=9,DAY((DATE(年間!$C$1,9,1)-WEEKDAY(DATE(年間!$C$1,9,1))+38)),"")</f>
        <v/>
      </c>
      <c r="D13" s="9" t="str">
        <f>IF(MONTH((DATE(年間!$C$1,9,1)-WEEKDAY(DATE(年間!$C$1,9,1))+39))=9,DAY((DATE(年間!$C$1,9,1)-WEEKDAY(DATE(年間!$C$1,9,1))+39)),"")</f>
        <v/>
      </c>
      <c r="E13" s="9" t="str">
        <f>IF(MONTH((DATE(年間!$C$1,9,1)-WEEKDAY(DATE(年間!$C$1,9,1))+40))=9,DAY((DATE(年間!$C$1,9,1)-WEEKDAY(DATE(年間!$C$1,9,1))+40)),"")</f>
        <v/>
      </c>
      <c r="F13" s="9" t="str">
        <f>IF(MONTH((DATE(年間!$C$1,9,1)-WEEKDAY(DATE(年間!$C$1,9,1))+41))=9,DAY((DATE(年間!$C$1,9,1)-WEEKDAY(DATE(年間!$C$1,9,1))+41)),"")</f>
        <v/>
      </c>
      <c r="G13" s="9" t="str">
        <f>IF(MONTH((DATE(年間!$C$1,9,1)-WEEKDAY(DATE(年間!$C$1,9,1))+42))=9,DAY((DATE(年間!$C$1,9,1)-WEEKDAY(DATE(年間!$C$1,9,1))+42)),"")</f>
        <v/>
      </c>
    </row>
    <row r="14" spans="1:7" ht="50" customHeight="1" x14ac:dyDescent="0.2">
      <c r="A14" s="10" t="str">
        <f>IF(MONTH((DATE(年間!$C$1,9,1)-WEEKDAY(DATE(年間!$C$1,9,1))+36))=9,IFERROR(VLOOKUP((DATE(年間!$C$1,9,1)-WEEKDAY(DATE(年間!$C$1,9,1))+36),祝日!$A$2:$B$75,2,FALSE),""),"")</f>
        <v/>
      </c>
      <c r="B14" s="10" t="str">
        <f>IF(MONTH((DATE(年間!$C$1,9,1)-WEEKDAY(DATE(年間!$C$1,9,1))+37))=9,IFERROR(VLOOKUP((DATE(年間!$C$1,9,1)-WEEKDAY(DATE(年間!$C$1,9,1))+37),祝日!$A$2:$B$75,2,FALSE),""),"")</f>
        <v/>
      </c>
      <c r="C14" s="10" t="str">
        <f>IF(MONTH((DATE(年間!$C$1,9,1)-WEEKDAY(DATE(年間!$C$1,9,1))+38))=9,IFERROR(VLOOKUP((DATE(年間!$C$1,9,1)-WEEKDAY(DATE(年間!$C$1,9,1))+38),祝日!$A$2:$B$75,2,FALSE),""),"")</f>
        <v/>
      </c>
      <c r="D14" s="10" t="str">
        <f>IF(MONTH((DATE(年間!$C$1,9,1)-WEEKDAY(DATE(年間!$C$1,9,1))+39))=9,IFERROR(VLOOKUP((DATE(年間!$C$1,9,1)-WEEKDAY(DATE(年間!$C$1,9,1))+39),祝日!$A$2:$B$75,2,FALSE),""),"")</f>
        <v/>
      </c>
      <c r="E14" s="10" t="str">
        <f>IF(MONTH((DATE(年間!$C$1,9,1)-WEEKDAY(DATE(年間!$C$1,9,1))+40))=9,IFERROR(VLOOKUP((DATE(年間!$C$1,9,1)-WEEKDAY(DATE(年間!$C$1,9,1))+40),祝日!$A$2:$B$75,2,FALSE),""),"")</f>
        <v/>
      </c>
      <c r="F14" s="10" t="str">
        <f>IF(MONTH((DATE(年間!$C$1,9,1)-WEEKDAY(DATE(年間!$C$1,9,1))+41))=9,IFERROR(VLOOKUP((DATE(年間!$C$1,9,1)-WEEKDAY(DATE(年間!$C$1,9,1))+41),祝日!$A$2:$B$75,2,FALSE),""),"")</f>
        <v/>
      </c>
      <c r="G14" s="10" t="str">
        <f>IF(MONTH((DATE(年間!$C$1,9,1)-WEEKDAY(DATE(年間!$C$1,9,1))+42))=9,IFERROR(VLOOKUP((DATE(年間!$C$1,9,1)-WEEKDAY(DATE(年間!$C$1,9,1))+42),祝日!$A$2:$B$75,2,FALSE),""),"")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7" priority="1">
      <formula>AND(A3&lt;&gt;"",OR(COLUMN(A3)=1,A4&lt;&gt;""))</formula>
    </cfRule>
  </conditionalFormatting>
  <conditionalFormatting sqref="G3 G5 G7 G9 G11 G13">
    <cfRule type="expression" dxfId="6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10月"</f>
        <v>2027年 10月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IF(MONTH((DATE(年間!$C$1,10,1)-WEEKDAY(DATE(年間!$C$1,10,1))+1))=10,DAY((DATE(年間!$C$1,10,1)-WEEKDAY(DATE(年間!$C$1,10,1))+1)),"")</f>
        <v/>
      </c>
      <c r="B3" s="9" t="str">
        <f>IF(MONTH((DATE(年間!$C$1,10,1)-WEEKDAY(DATE(年間!$C$1,10,1))+2))=10,DAY((DATE(年間!$C$1,10,1)-WEEKDAY(DATE(年間!$C$1,10,1))+2)),"")</f>
        <v/>
      </c>
      <c r="C3" s="9" t="str">
        <f>IF(MONTH((DATE(年間!$C$1,10,1)-WEEKDAY(DATE(年間!$C$1,10,1))+3))=10,DAY((DATE(年間!$C$1,10,1)-WEEKDAY(DATE(年間!$C$1,10,1))+3)),"")</f>
        <v/>
      </c>
      <c r="D3" s="9" t="str">
        <f>IF(MONTH((DATE(年間!$C$1,10,1)-WEEKDAY(DATE(年間!$C$1,10,1))+4))=10,DAY((DATE(年間!$C$1,10,1)-WEEKDAY(DATE(年間!$C$1,10,1))+4)),"")</f>
        <v/>
      </c>
      <c r="E3" s="9" t="str">
        <f>IF(MONTH((DATE(年間!$C$1,10,1)-WEEKDAY(DATE(年間!$C$1,10,1))+5))=10,DAY((DATE(年間!$C$1,10,1)-WEEKDAY(DATE(年間!$C$1,10,1))+5)),"")</f>
        <v/>
      </c>
      <c r="F3" s="9">
        <f>IF(MONTH((DATE(年間!$C$1,10,1)-WEEKDAY(DATE(年間!$C$1,10,1))+6))=10,DAY((DATE(年間!$C$1,10,1)-WEEKDAY(DATE(年間!$C$1,10,1))+6)),"")</f>
        <v>1</v>
      </c>
      <c r="G3" s="9">
        <f>IF(MONTH((DATE(年間!$C$1,10,1)-WEEKDAY(DATE(年間!$C$1,10,1))+7))=10,DAY((DATE(年間!$C$1,10,1)-WEEKDAY(DATE(年間!$C$1,10,1))+7)),"")</f>
        <v>2</v>
      </c>
    </row>
    <row r="4" spans="1:7" ht="50" customHeight="1" x14ac:dyDescent="0.2">
      <c r="A4" s="10" t="str">
        <f>IF(MONTH((DATE(年間!$C$1,10,1)-WEEKDAY(DATE(年間!$C$1,10,1))+1))=10,IFERROR(VLOOKUP((DATE(年間!$C$1,10,1)-WEEKDAY(DATE(年間!$C$1,10,1))+1),祝日!$A$2:$B$75,2,FALSE),""),"")</f>
        <v/>
      </c>
      <c r="B4" s="10" t="str">
        <f>IF(MONTH((DATE(年間!$C$1,10,1)-WEEKDAY(DATE(年間!$C$1,10,1))+2))=10,IFERROR(VLOOKUP((DATE(年間!$C$1,10,1)-WEEKDAY(DATE(年間!$C$1,10,1))+2),祝日!$A$2:$B$75,2,FALSE),""),"")</f>
        <v/>
      </c>
      <c r="C4" s="10" t="str">
        <f>IF(MONTH((DATE(年間!$C$1,10,1)-WEEKDAY(DATE(年間!$C$1,10,1))+3))=10,IFERROR(VLOOKUP((DATE(年間!$C$1,10,1)-WEEKDAY(DATE(年間!$C$1,10,1))+3),祝日!$A$2:$B$75,2,FALSE),""),"")</f>
        <v/>
      </c>
      <c r="D4" s="10" t="str">
        <f>IF(MONTH((DATE(年間!$C$1,10,1)-WEEKDAY(DATE(年間!$C$1,10,1))+4))=10,IFERROR(VLOOKUP((DATE(年間!$C$1,10,1)-WEEKDAY(DATE(年間!$C$1,10,1))+4),祝日!$A$2:$B$75,2,FALSE),""),"")</f>
        <v/>
      </c>
      <c r="E4" s="10" t="str">
        <f>IF(MONTH((DATE(年間!$C$1,10,1)-WEEKDAY(DATE(年間!$C$1,10,1))+5))=10,IFERROR(VLOOKUP((DATE(年間!$C$1,10,1)-WEEKDAY(DATE(年間!$C$1,10,1))+5),祝日!$A$2:$B$75,2,FALSE),""),"")</f>
        <v/>
      </c>
      <c r="F4" s="10" t="str">
        <f>IF(MONTH((DATE(年間!$C$1,10,1)-WEEKDAY(DATE(年間!$C$1,10,1))+6))=10,IFERROR(VLOOKUP((DATE(年間!$C$1,10,1)-WEEKDAY(DATE(年間!$C$1,10,1))+6),祝日!$A$2:$B$75,2,FALSE),""),"")</f>
        <v/>
      </c>
      <c r="G4" s="10" t="str">
        <f>IF(MONTH((DATE(年間!$C$1,10,1)-WEEKDAY(DATE(年間!$C$1,10,1))+7))=10,IFERROR(VLOOKUP((DATE(年間!$C$1,10,1)-WEEKDAY(DATE(年間!$C$1,10,1))+7),祝日!$A$2:$B$75,2,FALSE),""),"")</f>
        <v/>
      </c>
    </row>
    <row r="5" spans="1:7" ht="26" customHeight="1" x14ac:dyDescent="0.2">
      <c r="A5" s="9">
        <f>IF(MONTH((DATE(年間!$C$1,10,1)-WEEKDAY(DATE(年間!$C$1,10,1))+8))=10,DAY((DATE(年間!$C$1,10,1)-WEEKDAY(DATE(年間!$C$1,10,1))+8)),"")</f>
        <v>3</v>
      </c>
      <c r="B5" s="9">
        <f>IF(MONTH((DATE(年間!$C$1,10,1)-WEEKDAY(DATE(年間!$C$1,10,1))+9))=10,DAY((DATE(年間!$C$1,10,1)-WEEKDAY(DATE(年間!$C$1,10,1))+9)),"")</f>
        <v>4</v>
      </c>
      <c r="C5" s="9">
        <f>IF(MONTH((DATE(年間!$C$1,10,1)-WEEKDAY(DATE(年間!$C$1,10,1))+10))=10,DAY((DATE(年間!$C$1,10,1)-WEEKDAY(DATE(年間!$C$1,10,1))+10)),"")</f>
        <v>5</v>
      </c>
      <c r="D5" s="9">
        <f>IF(MONTH((DATE(年間!$C$1,10,1)-WEEKDAY(DATE(年間!$C$1,10,1))+11))=10,DAY((DATE(年間!$C$1,10,1)-WEEKDAY(DATE(年間!$C$1,10,1))+11)),"")</f>
        <v>6</v>
      </c>
      <c r="E5" s="9">
        <f>IF(MONTH((DATE(年間!$C$1,10,1)-WEEKDAY(DATE(年間!$C$1,10,1))+12))=10,DAY((DATE(年間!$C$1,10,1)-WEEKDAY(DATE(年間!$C$1,10,1))+12)),"")</f>
        <v>7</v>
      </c>
      <c r="F5" s="9">
        <f>IF(MONTH((DATE(年間!$C$1,10,1)-WEEKDAY(DATE(年間!$C$1,10,1))+13))=10,DAY((DATE(年間!$C$1,10,1)-WEEKDAY(DATE(年間!$C$1,10,1))+13)),"")</f>
        <v>8</v>
      </c>
      <c r="G5" s="9">
        <f>IF(MONTH((DATE(年間!$C$1,10,1)-WEEKDAY(DATE(年間!$C$1,10,1))+14))=10,DAY((DATE(年間!$C$1,10,1)-WEEKDAY(DATE(年間!$C$1,10,1))+14)),"")</f>
        <v>9</v>
      </c>
    </row>
    <row r="6" spans="1:7" ht="50" customHeight="1" x14ac:dyDescent="0.2">
      <c r="A6" s="10" t="str">
        <f>IF(MONTH((DATE(年間!$C$1,10,1)-WEEKDAY(DATE(年間!$C$1,10,1))+8))=10,IFERROR(VLOOKUP((DATE(年間!$C$1,10,1)-WEEKDAY(DATE(年間!$C$1,10,1))+8),祝日!$A$2:$B$75,2,FALSE),""),"")</f>
        <v/>
      </c>
      <c r="B6" s="10" t="str">
        <f>IF(MONTH((DATE(年間!$C$1,10,1)-WEEKDAY(DATE(年間!$C$1,10,1))+9))=10,IFERROR(VLOOKUP((DATE(年間!$C$1,10,1)-WEEKDAY(DATE(年間!$C$1,10,1))+9),祝日!$A$2:$B$75,2,FALSE),""),"")</f>
        <v/>
      </c>
      <c r="C6" s="10" t="str">
        <f>IF(MONTH((DATE(年間!$C$1,10,1)-WEEKDAY(DATE(年間!$C$1,10,1))+10))=10,IFERROR(VLOOKUP((DATE(年間!$C$1,10,1)-WEEKDAY(DATE(年間!$C$1,10,1))+10),祝日!$A$2:$B$75,2,FALSE),""),"")</f>
        <v/>
      </c>
      <c r="D6" s="10" t="str">
        <f>IF(MONTH((DATE(年間!$C$1,10,1)-WEEKDAY(DATE(年間!$C$1,10,1))+11))=10,IFERROR(VLOOKUP((DATE(年間!$C$1,10,1)-WEEKDAY(DATE(年間!$C$1,10,1))+11),祝日!$A$2:$B$75,2,FALSE),""),"")</f>
        <v/>
      </c>
      <c r="E6" s="10" t="str">
        <f>IF(MONTH((DATE(年間!$C$1,10,1)-WEEKDAY(DATE(年間!$C$1,10,1))+12))=10,IFERROR(VLOOKUP((DATE(年間!$C$1,10,1)-WEEKDAY(DATE(年間!$C$1,10,1))+12),祝日!$A$2:$B$75,2,FALSE),""),"")</f>
        <v/>
      </c>
      <c r="F6" s="10" t="str">
        <f>IF(MONTH((DATE(年間!$C$1,10,1)-WEEKDAY(DATE(年間!$C$1,10,1))+13))=10,IFERROR(VLOOKUP((DATE(年間!$C$1,10,1)-WEEKDAY(DATE(年間!$C$1,10,1))+13),祝日!$A$2:$B$75,2,FALSE),""),"")</f>
        <v/>
      </c>
      <c r="G6" s="10" t="str">
        <f>IF(MONTH((DATE(年間!$C$1,10,1)-WEEKDAY(DATE(年間!$C$1,10,1))+14))=10,IFERROR(VLOOKUP((DATE(年間!$C$1,10,1)-WEEKDAY(DATE(年間!$C$1,10,1))+14),祝日!$A$2:$B$75,2,FALSE),""),"")</f>
        <v/>
      </c>
    </row>
    <row r="7" spans="1:7" ht="26" customHeight="1" x14ac:dyDescent="0.2">
      <c r="A7" s="9">
        <f>IF(MONTH((DATE(年間!$C$1,10,1)-WEEKDAY(DATE(年間!$C$1,10,1))+15))=10,DAY((DATE(年間!$C$1,10,1)-WEEKDAY(DATE(年間!$C$1,10,1))+15)),"")</f>
        <v>10</v>
      </c>
      <c r="B7" s="9">
        <f>IF(MONTH((DATE(年間!$C$1,10,1)-WEEKDAY(DATE(年間!$C$1,10,1))+16))=10,DAY((DATE(年間!$C$1,10,1)-WEEKDAY(DATE(年間!$C$1,10,1))+16)),"")</f>
        <v>11</v>
      </c>
      <c r="C7" s="9">
        <f>IF(MONTH((DATE(年間!$C$1,10,1)-WEEKDAY(DATE(年間!$C$1,10,1))+17))=10,DAY((DATE(年間!$C$1,10,1)-WEEKDAY(DATE(年間!$C$1,10,1))+17)),"")</f>
        <v>12</v>
      </c>
      <c r="D7" s="9">
        <f>IF(MONTH((DATE(年間!$C$1,10,1)-WEEKDAY(DATE(年間!$C$1,10,1))+18))=10,DAY((DATE(年間!$C$1,10,1)-WEEKDAY(DATE(年間!$C$1,10,1))+18)),"")</f>
        <v>13</v>
      </c>
      <c r="E7" s="9">
        <f>IF(MONTH((DATE(年間!$C$1,10,1)-WEEKDAY(DATE(年間!$C$1,10,1))+19))=10,DAY((DATE(年間!$C$1,10,1)-WEEKDAY(DATE(年間!$C$1,10,1))+19)),"")</f>
        <v>14</v>
      </c>
      <c r="F7" s="9">
        <f>IF(MONTH((DATE(年間!$C$1,10,1)-WEEKDAY(DATE(年間!$C$1,10,1))+20))=10,DAY((DATE(年間!$C$1,10,1)-WEEKDAY(DATE(年間!$C$1,10,1))+20)),"")</f>
        <v>15</v>
      </c>
      <c r="G7" s="9">
        <f>IF(MONTH((DATE(年間!$C$1,10,1)-WEEKDAY(DATE(年間!$C$1,10,1))+21))=10,DAY((DATE(年間!$C$1,10,1)-WEEKDAY(DATE(年間!$C$1,10,1))+21)),"")</f>
        <v>16</v>
      </c>
    </row>
    <row r="8" spans="1:7" ht="50" customHeight="1" x14ac:dyDescent="0.2">
      <c r="A8" s="10" t="str">
        <f>IF(MONTH((DATE(年間!$C$1,10,1)-WEEKDAY(DATE(年間!$C$1,10,1))+15))=10,IFERROR(VLOOKUP((DATE(年間!$C$1,10,1)-WEEKDAY(DATE(年間!$C$1,10,1))+15),祝日!$A$2:$B$75,2,FALSE),""),"")</f>
        <v/>
      </c>
      <c r="B8" s="10" t="str">
        <f>IF(MONTH((DATE(年間!$C$1,10,1)-WEEKDAY(DATE(年間!$C$1,10,1))+16))=10,IFERROR(VLOOKUP((DATE(年間!$C$1,10,1)-WEEKDAY(DATE(年間!$C$1,10,1))+16),祝日!$A$2:$B$75,2,FALSE),""),"")</f>
        <v>スポーツの日</v>
      </c>
      <c r="C8" s="10" t="str">
        <f>IF(MONTH((DATE(年間!$C$1,10,1)-WEEKDAY(DATE(年間!$C$1,10,1))+17))=10,IFERROR(VLOOKUP((DATE(年間!$C$1,10,1)-WEEKDAY(DATE(年間!$C$1,10,1))+17),祝日!$A$2:$B$75,2,FALSE),""),"")</f>
        <v/>
      </c>
      <c r="D8" s="10" t="str">
        <f>IF(MONTH((DATE(年間!$C$1,10,1)-WEEKDAY(DATE(年間!$C$1,10,1))+18))=10,IFERROR(VLOOKUP((DATE(年間!$C$1,10,1)-WEEKDAY(DATE(年間!$C$1,10,1))+18),祝日!$A$2:$B$75,2,FALSE),""),"")</f>
        <v/>
      </c>
      <c r="E8" s="10" t="str">
        <f>IF(MONTH((DATE(年間!$C$1,10,1)-WEEKDAY(DATE(年間!$C$1,10,1))+19))=10,IFERROR(VLOOKUP((DATE(年間!$C$1,10,1)-WEEKDAY(DATE(年間!$C$1,10,1))+19),祝日!$A$2:$B$75,2,FALSE),""),"")</f>
        <v/>
      </c>
      <c r="F8" s="10" t="str">
        <f>IF(MONTH((DATE(年間!$C$1,10,1)-WEEKDAY(DATE(年間!$C$1,10,1))+20))=10,IFERROR(VLOOKUP((DATE(年間!$C$1,10,1)-WEEKDAY(DATE(年間!$C$1,10,1))+20),祝日!$A$2:$B$75,2,FALSE),""),"")</f>
        <v/>
      </c>
      <c r="G8" s="10" t="str">
        <f>IF(MONTH((DATE(年間!$C$1,10,1)-WEEKDAY(DATE(年間!$C$1,10,1))+21))=10,IFERROR(VLOOKUP((DATE(年間!$C$1,10,1)-WEEKDAY(DATE(年間!$C$1,10,1))+21),祝日!$A$2:$B$75,2,FALSE),""),"")</f>
        <v/>
      </c>
    </row>
    <row r="9" spans="1:7" ht="26" customHeight="1" x14ac:dyDescent="0.2">
      <c r="A9" s="9">
        <f>IF(MONTH((DATE(年間!$C$1,10,1)-WEEKDAY(DATE(年間!$C$1,10,1))+22))=10,DAY((DATE(年間!$C$1,10,1)-WEEKDAY(DATE(年間!$C$1,10,1))+22)),"")</f>
        <v>17</v>
      </c>
      <c r="B9" s="9">
        <f>IF(MONTH((DATE(年間!$C$1,10,1)-WEEKDAY(DATE(年間!$C$1,10,1))+23))=10,DAY((DATE(年間!$C$1,10,1)-WEEKDAY(DATE(年間!$C$1,10,1))+23)),"")</f>
        <v>18</v>
      </c>
      <c r="C9" s="9">
        <f>IF(MONTH((DATE(年間!$C$1,10,1)-WEEKDAY(DATE(年間!$C$1,10,1))+24))=10,DAY((DATE(年間!$C$1,10,1)-WEEKDAY(DATE(年間!$C$1,10,1))+24)),"")</f>
        <v>19</v>
      </c>
      <c r="D9" s="9">
        <f>IF(MONTH((DATE(年間!$C$1,10,1)-WEEKDAY(DATE(年間!$C$1,10,1))+25))=10,DAY((DATE(年間!$C$1,10,1)-WEEKDAY(DATE(年間!$C$1,10,1))+25)),"")</f>
        <v>20</v>
      </c>
      <c r="E9" s="9">
        <f>IF(MONTH((DATE(年間!$C$1,10,1)-WEEKDAY(DATE(年間!$C$1,10,1))+26))=10,DAY((DATE(年間!$C$1,10,1)-WEEKDAY(DATE(年間!$C$1,10,1))+26)),"")</f>
        <v>21</v>
      </c>
      <c r="F9" s="9">
        <f>IF(MONTH((DATE(年間!$C$1,10,1)-WEEKDAY(DATE(年間!$C$1,10,1))+27))=10,DAY((DATE(年間!$C$1,10,1)-WEEKDAY(DATE(年間!$C$1,10,1))+27)),"")</f>
        <v>22</v>
      </c>
      <c r="G9" s="9">
        <f>IF(MONTH((DATE(年間!$C$1,10,1)-WEEKDAY(DATE(年間!$C$1,10,1))+28))=10,DAY((DATE(年間!$C$1,10,1)-WEEKDAY(DATE(年間!$C$1,10,1))+28)),"")</f>
        <v>23</v>
      </c>
    </row>
    <row r="10" spans="1:7" ht="50" customHeight="1" x14ac:dyDescent="0.2">
      <c r="A10" s="10" t="str">
        <f>IF(MONTH((DATE(年間!$C$1,10,1)-WEEKDAY(DATE(年間!$C$1,10,1))+22))=10,IFERROR(VLOOKUP((DATE(年間!$C$1,10,1)-WEEKDAY(DATE(年間!$C$1,10,1))+22),祝日!$A$2:$B$75,2,FALSE),""),"")</f>
        <v/>
      </c>
      <c r="B10" s="10" t="str">
        <f>IF(MONTH((DATE(年間!$C$1,10,1)-WEEKDAY(DATE(年間!$C$1,10,1))+23))=10,IFERROR(VLOOKUP((DATE(年間!$C$1,10,1)-WEEKDAY(DATE(年間!$C$1,10,1))+23),祝日!$A$2:$B$75,2,FALSE),""),"")</f>
        <v/>
      </c>
      <c r="C10" s="10" t="str">
        <f>IF(MONTH((DATE(年間!$C$1,10,1)-WEEKDAY(DATE(年間!$C$1,10,1))+24))=10,IFERROR(VLOOKUP((DATE(年間!$C$1,10,1)-WEEKDAY(DATE(年間!$C$1,10,1))+24),祝日!$A$2:$B$75,2,FALSE),""),"")</f>
        <v/>
      </c>
      <c r="D10" s="10" t="str">
        <f>IF(MONTH((DATE(年間!$C$1,10,1)-WEEKDAY(DATE(年間!$C$1,10,1))+25))=10,IFERROR(VLOOKUP((DATE(年間!$C$1,10,1)-WEEKDAY(DATE(年間!$C$1,10,1))+25),祝日!$A$2:$B$75,2,FALSE),""),"")</f>
        <v/>
      </c>
      <c r="E10" s="10" t="str">
        <f>IF(MONTH((DATE(年間!$C$1,10,1)-WEEKDAY(DATE(年間!$C$1,10,1))+26))=10,IFERROR(VLOOKUP((DATE(年間!$C$1,10,1)-WEEKDAY(DATE(年間!$C$1,10,1))+26),祝日!$A$2:$B$75,2,FALSE),""),"")</f>
        <v/>
      </c>
      <c r="F10" s="10" t="str">
        <f>IF(MONTH((DATE(年間!$C$1,10,1)-WEEKDAY(DATE(年間!$C$1,10,1))+27))=10,IFERROR(VLOOKUP((DATE(年間!$C$1,10,1)-WEEKDAY(DATE(年間!$C$1,10,1))+27),祝日!$A$2:$B$75,2,FALSE),""),"")</f>
        <v/>
      </c>
      <c r="G10" s="10" t="str">
        <f>IF(MONTH((DATE(年間!$C$1,10,1)-WEEKDAY(DATE(年間!$C$1,10,1))+28))=10,IFERROR(VLOOKUP((DATE(年間!$C$1,10,1)-WEEKDAY(DATE(年間!$C$1,10,1))+28),祝日!$A$2:$B$75,2,FALSE),""),"")</f>
        <v/>
      </c>
    </row>
    <row r="11" spans="1:7" ht="26" customHeight="1" x14ac:dyDescent="0.2">
      <c r="A11" s="9">
        <f>IF(MONTH((DATE(年間!$C$1,10,1)-WEEKDAY(DATE(年間!$C$1,10,1))+29))=10,DAY((DATE(年間!$C$1,10,1)-WEEKDAY(DATE(年間!$C$1,10,1))+29)),"")</f>
        <v>24</v>
      </c>
      <c r="B11" s="9">
        <f>IF(MONTH((DATE(年間!$C$1,10,1)-WEEKDAY(DATE(年間!$C$1,10,1))+30))=10,DAY((DATE(年間!$C$1,10,1)-WEEKDAY(DATE(年間!$C$1,10,1))+30)),"")</f>
        <v>25</v>
      </c>
      <c r="C11" s="9">
        <f>IF(MONTH((DATE(年間!$C$1,10,1)-WEEKDAY(DATE(年間!$C$1,10,1))+31))=10,DAY((DATE(年間!$C$1,10,1)-WEEKDAY(DATE(年間!$C$1,10,1))+31)),"")</f>
        <v>26</v>
      </c>
      <c r="D11" s="9">
        <f>IF(MONTH((DATE(年間!$C$1,10,1)-WEEKDAY(DATE(年間!$C$1,10,1))+32))=10,DAY((DATE(年間!$C$1,10,1)-WEEKDAY(DATE(年間!$C$1,10,1))+32)),"")</f>
        <v>27</v>
      </c>
      <c r="E11" s="9">
        <f>IF(MONTH((DATE(年間!$C$1,10,1)-WEEKDAY(DATE(年間!$C$1,10,1))+33))=10,DAY((DATE(年間!$C$1,10,1)-WEEKDAY(DATE(年間!$C$1,10,1))+33)),"")</f>
        <v>28</v>
      </c>
      <c r="F11" s="9">
        <f>IF(MONTH((DATE(年間!$C$1,10,1)-WEEKDAY(DATE(年間!$C$1,10,1))+34))=10,DAY((DATE(年間!$C$1,10,1)-WEEKDAY(DATE(年間!$C$1,10,1))+34)),"")</f>
        <v>29</v>
      </c>
      <c r="G11" s="9">
        <f>IF(MONTH((DATE(年間!$C$1,10,1)-WEEKDAY(DATE(年間!$C$1,10,1))+35))=10,DAY((DATE(年間!$C$1,10,1)-WEEKDAY(DATE(年間!$C$1,10,1))+35)),"")</f>
        <v>30</v>
      </c>
    </row>
    <row r="12" spans="1:7" ht="50" customHeight="1" x14ac:dyDescent="0.2">
      <c r="A12" s="10" t="str">
        <f>IF(MONTH((DATE(年間!$C$1,10,1)-WEEKDAY(DATE(年間!$C$1,10,1))+29))=10,IFERROR(VLOOKUP((DATE(年間!$C$1,10,1)-WEEKDAY(DATE(年間!$C$1,10,1))+29),祝日!$A$2:$B$75,2,FALSE),""),"")</f>
        <v/>
      </c>
      <c r="B12" s="10" t="str">
        <f>IF(MONTH((DATE(年間!$C$1,10,1)-WEEKDAY(DATE(年間!$C$1,10,1))+30))=10,IFERROR(VLOOKUP((DATE(年間!$C$1,10,1)-WEEKDAY(DATE(年間!$C$1,10,1))+30),祝日!$A$2:$B$75,2,FALSE),""),"")</f>
        <v/>
      </c>
      <c r="C12" s="10" t="str">
        <f>IF(MONTH((DATE(年間!$C$1,10,1)-WEEKDAY(DATE(年間!$C$1,10,1))+31))=10,IFERROR(VLOOKUP((DATE(年間!$C$1,10,1)-WEEKDAY(DATE(年間!$C$1,10,1))+31),祝日!$A$2:$B$75,2,FALSE),""),"")</f>
        <v/>
      </c>
      <c r="D12" s="10" t="str">
        <f>IF(MONTH((DATE(年間!$C$1,10,1)-WEEKDAY(DATE(年間!$C$1,10,1))+32))=10,IFERROR(VLOOKUP((DATE(年間!$C$1,10,1)-WEEKDAY(DATE(年間!$C$1,10,1))+32),祝日!$A$2:$B$75,2,FALSE),""),"")</f>
        <v/>
      </c>
      <c r="E12" s="10" t="str">
        <f>IF(MONTH((DATE(年間!$C$1,10,1)-WEEKDAY(DATE(年間!$C$1,10,1))+33))=10,IFERROR(VLOOKUP((DATE(年間!$C$1,10,1)-WEEKDAY(DATE(年間!$C$1,10,1))+33),祝日!$A$2:$B$75,2,FALSE),""),"")</f>
        <v/>
      </c>
      <c r="F12" s="10" t="str">
        <f>IF(MONTH((DATE(年間!$C$1,10,1)-WEEKDAY(DATE(年間!$C$1,10,1))+34))=10,IFERROR(VLOOKUP((DATE(年間!$C$1,10,1)-WEEKDAY(DATE(年間!$C$1,10,1))+34),祝日!$A$2:$B$75,2,FALSE),""),"")</f>
        <v/>
      </c>
      <c r="G12" s="10" t="str">
        <f>IF(MONTH((DATE(年間!$C$1,10,1)-WEEKDAY(DATE(年間!$C$1,10,1))+35))=10,IFERROR(VLOOKUP((DATE(年間!$C$1,10,1)-WEEKDAY(DATE(年間!$C$1,10,1))+35),祝日!$A$2:$B$75,2,FALSE),""),"")</f>
        <v/>
      </c>
    </row>
    <row r="13" spans="1:7" ht="26" customHeight="1" x14ac:dyDescent="0.2">
      <c r="A13" s="9">
        <f>IF(MONTH((DATE(年間!$C$1,10,1)-WEEKDAY(DATE(年間!$C$1,10,1))+36))=10,DAY((DATE(年間!$C$1,10,1)-WEEKDAY(DATE(年間!$C$1,10,1))+36)),"")</f>
        <v>31</v>
      </c>
      <c r="B13" s="9" t="str">
        <f>IF(MONTH((DATE(年間!$C$1,10,1)-WEEKDAY(DATE(年間!$C$1,10,1))+37))=10,DAY((DATE(年間!$C$1,10,1)-WEEKDAY(DATE(年間!$C$1,10,1))+37)),"")</f>
        <v/>
      </c>
      <c r="C13" s="9" t="str">
        <f>IF(MONTH((DATE(年間!$C$1,10,1)-WEEKDAY(DATE(年間!$C$1,10,1))+38))=10,DAY((DATE(年間!$C$1,10,1)-WEEKDAY(DATE(年間!$C$1,10,1))+38)),"")</f>
        <v/>
      </c>
      <c r="D13" s="9" t="str">
        <f>IF(MONTH((DATE(年間!$C$1,10,1)-WEEKDAY(DATE(年間!$C$1,10,1))+39))=10,DAY((DATE(年間!$C$1,10,1)-WEEKDAY(DATE(年間!$C$1,10,1))+39)),"")</f>
        <v/>
      </c>
      <c r="E13" s="9" t="str">
        <f>IF(MONTH((DATE(年間!$C$1,10,1)-WEEKDAY(DATE(年間!$C$1,10,1))+40))=10,DAY((DATE(年間!$C$1,10,1)-WEEKDAY(DATE(年間!$C$1,10,1))+40)),"")</f>
        <v/>
      </c>
      <c r="F13" s="9" t="str">
        <f>IF(MONTH((DATE(年間!$C$1,10,1)-WEEKDAY(DATE(年間!$C$1,10,1))+41))=10,DAY((DATE(年間!$C$1,10,1)-WEEKDAY(DATE(年間!$C$1,10,1))+41)),"")</f>
        <v/>
      </c>
      <c r="G13" s="9" t="str">
        <f>IF(MONTH((DATE(年間!$C$1,10,1)-WEEKDAY(DATE(年間!$C$1,10,1))+42))=10,DAY((DATE(年間!$C$1,10,1)-WEEKDAY(DATE(年間!$C$1,10,1))+42)),"")</f>
        <v/>
      </c>
    </row>
    <row r="14" spans="1:7" ht="50" customHeight="1" x14ac:dyDescent="0.2">
      <c r="A14" s="10" t="str">
        <f>IF(MONTH((DATE(年間!$C$1,10,1)-WEEKDAY(DATE(年間!$C$1,10,1))+36))=10,IFERROR(VLOOKUP((DATE(年間!$C$1,10,1)-WEEKDAY(DATE(年間!$C$1,10,1))+36),祝日!$A$2:$B$75,2,FALSE),""),"")</f>
        <v/>
      </c>
      <c r="B14" s="10" t="str">
        <f>IF(MONTH((DATE(年間!$C$1,10,1)-WEEKDAY(DATE(年間!$C$1,10,1))+37))=10,IFERROR(VLOOKUP((DATE(年間!$C$1,10,1)-WEEKDAY(DATE(年間!$C$1,10,1))+37),祝日!$A$2:$B$75,2,FALSE),""),"")</f>
        <v/>
      </c>
      <c r="C14" s="10" t="str">
        <f>IF(MONTH((DATE(年間!$C$1,10,1)-WEEKDAY(DATE(年間!$C$1,10,1))+38))=10,IFERROR(VLOOKUP((DATE(年間!$C$1,10,1)-WEEKDAY(DATE(年間!$C$1,10,1))+38),祝日!$A$2:$B$75,2,FALSE),""),"")</f>
        <v/>
      </c>
      <c r="D14" s="10" t="str">
        <f>IF(MONTH((DATE(年間!$C$1,10,1)-WEEKDAY(DATE(年間!$C$1,10,1))+39))=10,IFERROR(VLOOKUP((DATE(年間!$C$1,10,1)-WEEKDAY(DATE(年間!$C$1,10,1))+39),祝日!$A$2:$B$75,2,FALSE),""),"")</f>
        <v/>
      </c>
      <c r="E14" s="10" t="str">
        <f>IF(MONTH((DATE(年間!$C$1,10,1)-WEEKDAY(DATE(年間!$C$1,10,1))+40))=10,IFERROR(VLOOKUP((DATE(年間!$C$1,10,1)-WEEKDAY(DATE(年間!$C$1,10,1))+40),祝日!$A$2:$B$75,2,FALSE),""),"")</f>
        <v/>
      </c>
      <c r="F14" s="10" t="str">
        <f>IF(MONTH((DATE(年間!$C$1,10,1)-WEEKDAY(DATE(年間!$C$1,10,1))+41))=10,IFERROR(VLOOKUP((DATE(年間!$C$1,10,1)-WEEKDAY(DATE(年間!$C$1,10,1))+41),祝日!$A$2:$B$75,2,FALSE),""),"")</f>
        <v/>
      </c>
      <c r="G14" s="10" t="str">
        <f>IF(MONTH((DATE(年間!$C$1,10,1)-WEEKDAY(DATE(年間!$C$1,10,1))+42))=10,IFERROR(VLOOKUP((DATE(年間!$C$1,10,1)-WEEKDAY(DATE(年間!$C$1,10,1))+42),祝日!$A$2:$B$75,2,FALSE),""),"")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5" priority="1">
      <formula>AND(A3&lt;&gt;"",OR(COLUMN(A3)=1,A4&lt;&gt;""))</formula>
    </cfRule>
  </conditionalFormatting>
  <conditionalFormatting sqref="G3 G5 G7 G9 G11 G13">
    <cfRule type="expression" dxfId="4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11月"</f>
        <v>2027年 11月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IF(MONTH((DATE(年間!$C$1,11,1)-WEEKDAY(DATE(年間!$C$1,11,1))+1))=11,DAY((DATE(年間!$C$1,11,1)-WEEKDAY(DATE(年間!$C$1,11,1))+1)),"")</f>
        <v/>
      </c>
      <c r="B3" s="9">
        <f>IF(MONTH((DATE(年間!$C$1,11,1)-WEEKDAY(DATE(年間!$C$1,11,1))+2))=11,DAY((DATE(年間!$C$1,11,1)-WEEKDAY(DATE(年間!$C$1,11,1))+2)),"")</f>
        <v>1</v>
      </c>
      <c r="C3" s="9">
        <f>IF(MONTH((DATE(年間!$C$1,11,1)-WEEKDAY(DATE(年間!$C$1,11,1))+3))=11,DAY((DATE(年間!$C$1,11,1)-WEEKDAY(DATE(年間!$C$1,11,1))+3)),"")</f>
        <v>2</v>
      </c>
      <c r="D3" s="9">
        <f>IF(MONTH((DATE(年間!$C$1,11,1)-WEEKDAY(DATE(年間!$C$1,11,1))+4))=11,DAY((DATE(年間!$C$1,11,1)-WEEKDAY(DATE(年間!$C$1,11,1))+4)),"")</f>
        <v>3</v>
      </c>
      <c r="E3" s="9">
        <f>IF(MONTH((DATE(年間!$C$1,11,1)-WEEKDAY(DATE(年間!$C$1,11,1))+5))=11,DAY((DATE(年間!$C$1,11,1)-WEEKDAY(DATE(年間!$C$1,11,1))+5)),"")</f>
        <v>4</v>
      </c>
      <c r="F3" s="9">
        <f>IF(MONTH((DATE(年間!$C$1,11,1)-WEEKDAY(DATE(年間!$C$1,11,1))+6))=11,DAY((DATE(年間!$C$1,11,1)-WEEKDAY(DATE(年間!$C$1,11,1))+6)),"")</f>
        <v>5</v>
      </c>
      <c r="G3" s="9">
        <f>IF(MONTH((DATE(年間!$C$1,11,1)-WEEKDAY(DATE(年間!$C$1,11,1))+7))=11,DAY((DATE(年間!$C$1,11,1)-WEEKDAY(DATE(年間!$C$1,11,1))+7)),"")</f>
        <v>6</v>
      </c>
    </row>
    <row r="4" spans="1:7" ht="50" customHeight="1" x14ac:dyDescent="0.2">
      <c r="A4" s="10" t="str">
        <f>IF(MONTH((DATE(年間!$C$1,11,1)-WEEKDAY(DATE(年間!$C$1,11,1))+1))=11,IFERROR(VLOOKUP((DATE(年間!$C$1,11,1)-WEEKDAY(DATE(年間!$C$1,11,1))+1),祝日!$A$2:$B$75,2,FALSE),""),"")</f>
        <v/>
      </c>
      <c r="B4" s="10" t="str">
        <f>IF(MONTH((DATE(年間!$C$1,11,1)-WEEKDAY(DATE(年間!$C$1,11,1))+2))=11,IFERROR(VLOOKUP((DATE(年間!$C$1,11,1)-WEEKDAY(DATE(年間!$C$1,11,1))+2),祝日!$A$2:$B$75,2,FALSE),""),"")</f>
        <v/>
      </c>
      <c r="C4" s="10" t="str">
        <f>IF(MONTH((DATE(年間!$C$1,11,1)-WEEKDAY(DATE(年間!$C$1,11,1))+3))=11,IFERROR(VLOOKUP((DATE(年間!$C$1,11,1)-WEEKDAY(DATE(年間!$C$1,11,1))+3),祝日!$A$2:$B$75,2,FALSE),""),"")</f>
        <v/>
      </c>
      <c r="D4" s="10" t="str">
        <f>IF(MONTH((DATE(年間!$C$1,11,1)-WEEKDAY(DATE(年間!$C$1,11,1))+4))=11,IFERROR(VLOOKUP((DATE(年間!$C$1,11,1)-WEEKDAY(DATE(年間!$C$1,11,1))+4),祝日!$A$2:$B$75,2,FALSE),""),"")</f>
        <v>文化の日</v>
      </c>
      <c r="E4" s="10" t="str">
        <f>IF(MONTH((DATE(年間!$C$1,11,1)-WEEKDAY(DATE(年間!$C$1,11,1))+5))=11,IFERROR(VLOOKUP((DATE(年間!$C$1,11,1)-WEEKDAY(DATE(年間!$C$1,11,1))+5),祝日!$A$2:$B$75,2,FALSE),""),"")</f>
        <v/>
      </c>
      <c r="F4" s="10" t="str">
        <f>IF(MONTH((DATE(年間!$C$1,11,1)-WEEKDAY(DATE(年間!$C$1,11,1))+6))=11,IFERROR(VLOOKUP((DATE(年間!$C$1,11,1)-WEEKDAY(DATE(年間!$C$1,11,1))+6),祝日!$A$2:$B$75,2,FALSE),""),"")</f>
        <v/>
      </c>
      <c r="G4" s="10" t="str">
        <f>IF(MONTH((DATE(年間!$C$1,11,1)-WEEKDAY(DATE(年間!$C$1,11,1))+7))=11,IFERROR(VLOOKUP((DATE(年間!$C$1,11,1)-WEEKDAY(DATE(年間!$C$1,11,1))+7),祝日!$A$2:$B$75,2,FALSE),""),"")</f>
        <v/>
      </c>
    </row>
    <row r="5" spans="1:7" ht="26" customHeight="1" x14ac:dyDescent="0.2">
      <c r="A5" s="9">
        <f>IF(MONTH((DATE(年間!$C$1,11,1)-WEEKDAY(DATE(年間!$C$1,11,1))+8))=11,DAY((DATE(年間!$C$1,11,1)-WEEKDAY(DATE(年間!$C$1,11,1))+8)),"")</f>
        <v>7</v>
      </c>
      <c r="B5" s="9">
        <f>IF(MONTH((DATE(年間!$C$1,11,1)-WEEKDAY(DATE(年間!$C$1,11,1))+9))=11,DAY((DATE(年間!$C$1,11,1)-WEEKDAY(DATE(年間!$C$1,11,1))+9)),"")</f>
        <v>8</v>
      </c>
      <c r="C5" s="9">
        <f>IF(MONTH((DATE(年間!$C$1,11,1)-WEEKDAY(DATE(年間!$C$1,11,1))+10))=11,DAY((DATE(年間!$C$1,11,1)-WEEKDAY(DATE(年間!$C$1,11,1))+10)),"")</f>
        <v>9</v>
      </c>
      <c r="D5" s="9">
        <f>IF(MONTH((DATE(年間!$C$1,11,1)-WEEKDAY(DATE(年間!$C$1,11,1))+11))=11,DAY((DATE(年間!$C$1,11,1)-WEEKDAY(DATE(年間!$C$1,11,1))+11)),"")</f>
        <v>10</v>
      </c>
      <c r="E5" s="9">
        <f>IF(MONTH((DATE(年間!$C$1,11,1)-WEEKDAY(DATE(年間!$C$1,11,1))+12))=11,DAY((DATE(年間!$C$1,11,1)-WEEKDAY(DATE(年間!$C$1,11,1))+12)),"")</f>
        <v>11</v>
      </c>
      <c r="F5" s="9">
        <f>IF(MONTH((DATE(年間!$C$1,11,1)-WEEKDAY(DATE(年間!$C$1,11,1))+13))=11,DAY((DATE(年間!$C$1,11,1)-WEEKDAY(DATE(年間!$C$1,11,1))+13)),"")</f>
        <v>12</v>
      </c>
      <c r="G5" s="9">
        <f>IF(MONTH((DATE(年間!$C$1,11,1)-WEEKDAY(DATE(年間!$C$1,11,1))+14))=11,DAY((DATE(年間!$C$1,11,1)-WEEKDAY(DATE(年間!$C$1,11,1))+14)),"")</f>
        <v>13</v>
      </c>
    </row>
    <row r="6" spans="1:7" ht="50" customHeight="1" x14ac:dyDescent="0.2">
      <c r="A6" s="10" t="str">
        <f>IF(MONTH((DATE(年間!$C$1,11,1)-WEEKDAY(DATE(年間!$C$1,11,1))+8))=11,IFERROR(VLOOKUP((DATE(年間!$C$1,11,1)-WEEKDAY(DATE(年間!$C$1,11,1))+8),祝日!$A$2:$B$75,2,FALSE),""),"")</f>
        <v/>
      </c>
      <c r="B6" s="10" t="str">
        <f>IF(MONTH((DATE(年間!$C$1,11,1)-WEEKDAY(DATE(年間!$C$1,11,1))+9))=11,IFERROR(VLOOKUP((DATE(年間!$C$1,11,1)-WEEKDAY(DATE(年間!$C$1,11,1))+9),祝日!$A$2:$B$75,2,FALSE),""),"")</f>
        <v/>
      </c>
      <c r="C6" s="10" t="str">
        <f>IF(MONTH((DATE(年間!$C$1,11,1)-WEEKDAY(DATE(年間!$C$1,11,1))+10))=11,IFERROR(VLOOKUP((DATE(年間!$C$1,11,1)-WEEKDAY(DATE(年間!$C$1,11,1))+10),祝日!$A$2:$B$75,2,FALSE),""),"")</f>
        <v/>
      </c>
      <c r="D6" s="10" t="str">
        <f>IF(MONTH((DATE(年間!$C$1,11,1)-WEEKDAY(DATE(年間!$C$1,11,1))+11))=11,IFERROR(VLOOKUP((DATE(年間!$C$1,11,1)-WEEKDAY(DATE(年間!$C$1,11,1))+11),祝日!$A$2:$B$75,2,FALSE),""),"")</f>
        <v/>
      </c>
      <c r="E6" s="10" t="str">
        <f>IF(MONTH((DATE(年間!$C$1,11,1)-WEEKDAY(DATE(年間!$C$1,11,1))+12))=11,IFERROR(VLOOKUP((DATE(年間!$C$1,11,1)-WEEKDAY(DATE(年間!$C$1,11,1))+12),祝日!$A$2:$B$75,2,FALSE),""),"")</f>
        <v/>
      </c>
      <c r="F6" s="10" t="str">
        <f>IF(MONTH((DATE(年間!$C$1,11,1)-WEEKDAY(DATE(年間!$C$1,11,1))+13))=11,IFERROR(VLOOKUP((DATE(年間!$C$1,11,1)-WEEKDAY(DATE(年間!$C$1,11,1))+13),祝日!$A$2:$B$75,2,FALSE),""),"")</f>
        <v/>
      </c>
      <c r="G6" s="10" t="str">
        <f>IF(MONTH((DATE(年間!$C$1,11,1)-WEEKDAY(DATE(年間!$C$1,11,1))+14))=11,IFERROR(VLOOKUP((DATE(年間!$C$1,11,1)-WEEKDAY(DATE(年間!$C$1,11,1))+14),祝日!$A$2:$B$75,2,FALSE),""),"")</f>
        <v/>
      </c>
    </row>
    <row r="7" spans="1:7" ht="26" customHeight="1" x14ac:dyDescent="0.2">
      <c r="A7" s="9">
        <f>IF(MONTH((DATE(年間!$C$1,11,1)-WEEKDAY(DATE(年間!$C$1,11,1))+15))=11,DAY((DATE(年間!$C$1,11,1)-WEEKDAY(DATE(年間!$C$1,11,1))+15)),"")</f>
        <v>14</v>
      </c>
      <c r="B7" s="9">
        <f>IF(MONTH((DATE(年間!$C$1,11,1)-WEEKDAY(DATE(年間!$C$1,11,1))+16))=11,DAY((DATE(年間!$C$1,11,1)-WEEKDAY(DATE(年間!$C$1,11,1))+16)),"")</f>
        <v>15</v>
      </c>
      <c r="C7" s="9">
        <f>IF(MONTH((DATE(年間!$C$1,11,1)-WEEKDAY(DATE(年間!$C$1,11,1))+17))=11,DAY((DATE(年間!$C$1,11,1)-WEEKDAY(DATE(年間!$C$1,11,1))+17)),"")</f>
        <v>16</v>
      </c>
      <c r="D7" s="9">
        <f>IF(MONTH((DATE(年間!$C$1,11,1)-WEEKDAY(DATE(年間!$C$1,11,1))+18))=11,DAY((DATE(年間!$C$1,11,1)-WEEKDAY(DATE(年間!$C$1,11,1))+18)),"")</f>
        <v>17</v>
      </c>
      <c r="E7" s="9">
        <f>IF(MONTH((DATE(年間!$C$1,11,1)-WEEKDAY(DATE(年間!$C$1,11,1))+19))=11,DAY((DATE(年間!$C$1,11,1)-WEEKDAY(DATE(年間!$C$1,11,1))+19)),"")</f>
        <v>18</v>
      </c>
      <c r="F7" s="9">
        <f>IF(MONTH((DATE(年間!$C$1,11,1)-WEEKDAY(DATE(年間!$C$1,11,1))+20))=11,DAY((DATE(年間!$C$1,11,1)-WEEKDAY(DATE(年間!$C$1,11,1))+20)),"")</f>
        <v>19</v>
      </c>
      <c r="G7" s="9">
        <f>IF(MONTH((DATE(年間!$C$1,11,1)-WEEKDAY(DATE(年間!$C$1,11,1))+21))=11,DAY((DATE(年間!$C$1,11,1)-WEEKDAY(DATE(年間!$C$1,11,1))+21)),"")</f>
        <v>20</v>
      </c>
    </row>
    <row r="8" spans="1:7" ht="50" customHeight="1" x14ac:dyDescent="0.2">
      <c r="A8" s="10" t="str">
        <f>IF(MONTH((DATE(年間!$C$1,11,1)-WEEKDAY(DATE(年間!$C$1,11,1))+15))=11,IFERROR(VLOOKUP((DATE(年間!$C$1,11,1)-WEEKDAY(DATE(年間!$C$1,11,1))+15),祝日!$A$2:$B$75,2,FALSE),""),"")</f>
        <v/>
      </c>
      <c r="B8" s="10" t="str">
        <f>IF(MONTH((DATE(年間!$C$1,11,1)-WEEKDAY(DATE(年間!$C$1,11,1))+16))=11,IFERROR(VLOOKUP((DATE(年間!$C$1,11,1)-WEEKDAY(DATE(年間!$C$1,11,1))+16),祝日!$A$2:$B$75,2,FALSE),""),"")</f>
        <v/>
      </c>
      <c r="C8" s="10" t="str">
        <f>IF(MONTH((DATE(年間!$C$1,11,1)-WEEKDAY(DATE(年間!$C$1,11,1))+17))=11,IFERROR(VLOOKUP((DATE(年間!$C$1,11,1)-WEEKDAY(DATE(年間!$C$1,11,1))+17),祝日!$A$2:$B$75,2,FALSE),""),"")</f>
        <v/>
      </c>
      <c r="D8" s="10" t="str">
        <f>IF(MONTH((DATE(年間!$C$1,11,1)-WEEKDAY(DATE(年間!$C$1,11,1))+18))=11,IFERROR(VLOOKUP((DATE(年間!$C$1,11,1)-WEEKDAY(DATE(年間!$C$1,11,1))+18),祝日!$A$2:$B$75,2,FALSE),""),"")</f>
        <v/>
      </c>
      <c r="E8" s="10" t="str">
        <f>IF(MONTH((DATE(年間!$C$1,11,1)-WEEKDAY(DATE(年間!$C$1,11,1))+19))=11,IFERROR(VLOOKUP((DATE(年間!$C$1,11,1)-WEEKDAY(DATE(年間!$C$1,11,1))+19),祝日!$A$2:$B$75,2,FALSE),""),"")</f>
        <v/>
      </c>
      <c r="F8" s="10" t="str">
        <f>IF(MONTH((DATE(年間!$C$1,11,1)-WEEKDAY(DATE(年間!$C$1,11,1))+20))=11,IFERROR(VLOOKUP((DATE(年間!$C$1,11,1)-WEEKDAY(DATE(年間!$C$1,11,1))+20),祝日!$A$2:$B$75,2,FALSE),""),"")</f>
        <v/>
      </c>
      <c r="G8" s="10" t="str">
        <f>IF(MONTH((DATE(年間!$C$1,11,1)-WEEKDAY(DATE(年間!$C$1,11,1))+21))=11,IFERROR(VLOOKUP((DATE(年間!$C$1,11,1)-WEEKDAY(DATE(年間!$C$1,11,1))+21),祝日!$A$2:$B$75,2,FALSE),""),"")</f>
        <v/>
      </c>
    </row>
    <row r="9" spans="1:7" ht="26" customHeight="1" x14ac:dyDescent="0.2">
      <c r="A9" s="9">
        <f>IF(MONTH((DATE(年間!$C$1,11,1)-WEEKDAY(DATE(年間!$C$1,11,1))+22))=11,DAY((DATE(年間!$C$1,11,1)-WEEKDAY(DATE(年間!$C$1,11,1))+22)),"")</f>
        <v>21</v>
      </c>
      <c r="B9" s="9">
        <f>IF(MONTH((DATE(年間!$C$1,11,1)-WEEKDAY(DATE(年間!$C$1,11,1))+23))=11,DAY((DATE(年間!$C$1,11,1)-WEEKDAY(DATE(年間!$C$1,11,1))+23)),"")</f>
        <v>22</v>
      </c>
      <c r="C9" s="9">
        <f>IF(MONTH((DATE(年間!$C$1,11,1)-WEEKDAY(DATE(年間!$C$1,11,1))+24))=11,DAY((DATE(年間!$C$1,11,1)-WEEKDAY(DATE(年間!$C$1,11,1))+24)),"")</f>
        <v>23</v>
      </c>
      <c r="D9" s="9">
        <f>IF(MONTH((DATE(年間!$C$1,11,1)-WEEKDAY(DATE(年間!$C$1,11,1))+25))=11,DAY((DATE(年間!$C$1,11,1)-WEEKDAY(DATE(年間!$C$1,11,1))+25)),"")</f>
        <v>24</v>
      </c>
      <c r="E9" s="9">
        <f>IF(MONTH((DATE(年間!$C$1,11,1)-WEEKDAY(DATE(年間!$C$1,11,1))+26))=11,DAY((DATE(年間!$C$1,11,1)-WEEKDAY(DATE(年間!$C$1,11,1))+26)),"")</f>
        <v>25</v>
      </c>
      <c r="F9" s="9">
        <f>IF(MONTH((DATE(年間!$C$1,11,1)-WEEKDAY(DATE(年間!$C$1,11,1))+27))=11,DAY((DATE(年間!$C$1,11,1)-WEEKDAY(DATE(年間!$C$1,11,1))+27)),"")</f>
        <v>26</v>
      </c>
      <c r="G9" s="9">
        <f>IF(MONTH((DATE(年間!$C$1,11,1)-WEEKDAY(DATE(年間!$C$1,11,1))+28))=11,DAY((DATE(年間!$C$1,11,1)-WEEKDAY(DATE(年間!$C$1,11,1))+28)),"")</f>
        <v>27</v>
      </c>
    </row>
    <row r="10" spans="1:7" ht="50" customHeight="1" x14ac:dyDescent="0.2">
      <c r="A10" s="10" t="str">
        <f>IF(MONTH((DATE(年間!$C$1,11,1)-WEEKDAY(DATE(年間!$C$1,11,1))+22))=11,IFERROR(VLOOKUP((DATE(年間!$C$1,11,1)-WEEKDAY(DATE(年間!$C$1,11,1))+22),祝日!$A$2:$B$75,2,FALSE),""),"")</f>
        <v/>
      </c>
      <c r="B10" s="10" t="str">
        <f>IF(MONTH((DATE(年間!$C$1,11,1)-WEEKDAY(DATE(年間!$C$1,11,1))+23))=11,IFERROR(VLOOKUP((DATE(年間!$C$1,11,1)-WEEKDAY(DATE(年間!$C$1,11,1))+23),祝日!$A$2:$B$75,2,FALSE),""),"")</f>
        <v/>
      </c>
      <c r="C10" s="10" t="str">
        <f>IF(MONTH((DATE(年間!$C$1,11,1)-WEEKDAY(DATE(年間!$C$1,11,1))+24))=11,IFERROR(VLOOKUP((DATE(年間!$C$1,11,1)-WEEKDAY(DATE(年間!$C$1,11,1))+24),祝日!$A$2:$B$75,2,FALSE),""),"")</f>
        <v>勤労感謝の日</v>
      </c>
      <c r="D10" s="10" t="str">
        <f>IF(MONTH((DATE(年間!$C$1,11,1)-WEEKDAY(DATE(年間!$C$1,11,1))+25))=11,IFERROR(VLOOKUP((DATE(年間!$C$1,11,1)-WEEKDAY(DATE(年間!$C$1,11,1))+25),祝日!$A$2:$B$75,2,FALSE),""),"")</f>
        <v/>
      </c>
      <c r="E10" s="10" t="str">
        <f>IF(MONTH((DATE(年間!$C$1,11,1)-WEEKDAY(DATE(年間!$C$1,11,1))+26))=11,IFERROR(VLOOKUP((DATE(年間!$C$1,11,1)-WEEKDAY(DATE(年間!$C$1,11,1))+26),祝日!$A$2:$B$75,2,FALSE),""),"")</f>
        <v/>
      </c>
      <c r="F10" s="10" t="str">
        <f>IF(MONTH((DATE(年間!$C$1,11,1)-WEEKDAY(DATE(年間!$C$1,11,1))+27))=11,IFERROR(VLOOKUP((DATE(年間!$C$1,11,1)-WEEKDAY(DATE(年間!$C$1,11,1))+27),祝日!$A$2:$B$75,2,FALSE),""),"")</f>
        <v/>
      </c>
      <c r="G10" s="10" t="str">
        <f>IF(MONTH((DATE(年間!$C$1,11,1)-WEEKDAY(DATE(年間!$C$1,11,1))+28))=11,IFERROR(VLOOKUP((DATE(年間!$C$1,11,1)-WEEKDAY(DATE(年間!$C$1,11,1))+28),祝日!$A$2:$B$75,2,FALSE),""),"")</f>
        <v/>
      </c>
    </row>
    <row r="11" spans="1:7" ht="26" customHeight="1" x14ac:dyDescent="0.2">
      <c r="A11" s="9">
        <f>IF(MONTH((DATE(年間!$C$1,11,1)-WEEKDAY(DATE(年間!$C$1,11,1))+29))=11,DAY((DATE(年間!$C$1,11,1)-WEEKDAY(DATE(年間!$C$1,11,1))+29)),"")</f>
        <v>28</v>
      </c>
      <c r="B11" s="9">
        <f>IF(MONTH((DATE(年間!$C$1,11,1)-WEEKDAY(DATE(年間!$C$1,11,1))+30))=11,DAY((DATE(年間!$C$1,11,1)-WEEKDAY(DATE(年間!$C$1,11,1))+30)),"")</f>
        <v>29</v>
      </c>
      <c r="C11" s="9">
        <f>IF(MONTH((DATE(年間!$C$1,11,1)-WEEKDAY(DATE(年間!$C$1,11,1))+31))=11,DAY((DATE(年間!$C$1,11,1)-WEEKDAY(DATE(年間!$C$1,11,1))+31)),"")</f>
        <v>30</v>
      </c>
      <c r="D11" s="9" t="str">
        <f>IF(MONTH((DATE(年間!$C$1,11,1)-WEEKDAY(DATE(年間!$C$1,11,1))+32))=11,DAY((DATE(年間!$C$1,11,1)-WEEKDAY(DATE(年間!$C$1,11,1))+32)),"")</f>
        <v/>
      </c>
      <c r="E11" s="9" t="str">
        <f>IF(MONTH((DATE(年間!$C$1,11,1)-WEEKDAY(DATE(年間!$C$1,11,1))+33))=11,DAY((DATE(年間!$C$1,11,1)-WEEKDAY(DATE(年間!$C$1,11,1))+33)),"")</f>
        <v/>
      </c>
      <c r="F11" s="9" t="str">
        <f>IF(MONTH((DATE(年間!$C$1,11,1)-WEEKDAY(DATE(年間!$C$1,11,1))+34))=11,DAY((DATE(年間!$C$1,11,1)-WEEKDAY(DATE(年間!$C$1,11,1))+34)),"")</f>
        <v/>
      </c>
      <c r="G11" s="9" t="str">
        <f>IF(MONTH((DATE(年間!$C$1,11,1)-WEEKDAY(DATE(年間!$C$1,11,1))+35))=11,DAY((DATE(年間!$C$1,11,1)-WEEKDAY(DATE(年間!$C$1,11,1))+35)),"")</f>
        <v/>
      </c>
    </row>
    <row r="12" spans="1:7" ht="50" customHeight="1" x14ac:dyDescent="0.2">
      <c r="A12" s="10" t="str">
        <f>IF(MONTH((DATE(年間!$C$1,11,1)-WEEKDAY(DATE(年間!$C$1,11,1))+29))=11,IFERROR(VLOOKUP((DATE(年間!$C$1,11,1)-WEEKDAY(DATE(年間!$C$1,11,1))+29),祝日!$A$2:$B$75,2,FALSE),""),"")</f>
        <v/>
      </c>
      <c r="B12" s="10" t="str">
        <f>IF(MONTH((DATE(年間!$C$1,11,1)-WEEKDAY(DATE(年間!$C$1,11,1))+30))=11,IFERROR(VLOOKUP((DATE(年間!$C$1,11,1)-WEEKDAY(DATE(年間!$C$1,11,1))+30),祝日!$A$2:$B$75,2,FALSE),""),"")</f>
        <v/>
      </c>
      <c r="C12" s="10" t="str">
        <f>IF(MONTH((DATE(年間!$C$1,11,1)-WEEKDAY(DATE(年間!$C$1,11,1))+31))=11,IFERROR(VLOOKUP((DATE(年間!$C$1,11,1)-WEEKDAY(DATE(年間!$C$1,11,1))+31),祝日!$A$2:$B$75,2,FALSE),""),"")</f>
        <v/>
      </c>
      <c r="D12" s="10" t="str">
        <f>IF(MONTH((DATE(年間!$C$1,11,1)-WEEKDAY(DATE(年間!$C$1,11,1))+32))=11,IFERROR(VLOOKUP((DATE(年間!$C$1,11,1)-WEEKDAY(DATE(年間!$C$1,11,1))+32),祝日!$A$2:$B$75,2,FALSE),""),"")</f>
        <v/>
      </c>
      <c r="E12" s="10" t="str">
        <f>IF(MONTH((DATE(年間!$C$1,11,1)-WEEKDAY(DATE(年間!$C$1,11,1))+33))=11,IFERROR(VLOOKUP((DATE(年間!$C$1,11,1)-WEEKDAY(DATE(年間!$C$1,11,1))+33),祝日!$A$2:$B$75,2,FALSE),""),"")</f>
        <v/>
      </c>
      <c r="F12" s="10" t="str">
        <f>IF(MONTH((DATE(年間!$C$1,11,1)-WEEKDAY(DATE(年間!$C$1,11,1))+34))=11,IFERROR(VLOOKUP((DATE(年間!$C$1,11,1)-WEEKDAY(DATE(年間!$C$1,11,1))+34),祝日!$A$2:$B$75,2,FALSE),""),"")</f>
        <v/>
      </c>
      <c r="G12" s="10" t="str">
        <f>IF(MONTH((DATE(年間!$C$1,11,1)-WEEKDAY(DATE(年間!$C$1,11,1))+35))=11,IFERROR(VLOOKUP((DATE(年間!$C$1,11,1)-WEEKDAY(DATE(年間!$C$1,11,1))+35),祝日!$A$2:$B$75,2,FALSE),""),"")</f>
        <v/>
      </c>
    </row>
    <row r="13" spans="1:7" ht="26" customHeight="1" x14ac:dyDescent="0.2">
      <c r="A13" s="9" t="str">
        <f>IF(MONTH((DATE(年間!$C$1,11,1)-WEEKDAY(DATE(年間!$C$1,11,1))+36))=11,DAY((DATE(年間!$C$1,11,1)-WEEKDAY(DATE(年間!$C$1,11,1))+36)),"")</f>
        <v/>
      </c>
      <c r="B13" s="9" t="str">
        <f>IF(MONTH((DATE(年間!$C$1,11,1)-WEEKDAY(DATE(年間!$C$1,11,1))+37))=11,DAY((DATE(年間!$C$1,11,1)-WEEKDAY(DATE(年間!$C$1,11,1))+37)),"")</f>
        <v/>
      </c>
      <c r="C13" s="9" t="str">
        <f>IF(MONTH((DATE(年間!$C$1,11,1)-WEEKDAY(DATE(年間!$C$1,11,1))+38))=11,DAY((DATE(年間!$C$1,11,1)-WEEKDAY(DATE(年間!$C$1,11,1))+38)),"")</f>
        <v/>
      </c>
      <c r="D13" s="9" t="str">
        <f>IF(MONTH((DATE(年間!$C$1,11,1)-WEEKDAY(DATE(年間!$C$1,11,1))+39))=11,DAY((DATE(年間!$C$1,11,1)-WEEKDAY(DATE(年間!$C$1,11,1))+39)),"")</f>
        <v/>
      </c>
      <c r="E13" s="9" t="str">
        <f>IF(MONTH((DATE(年間!$C$1,11,1)-WEEKDAY(DATE(年間!$C$1,11,1))+40))=11,DAY((DATE(年間!$C$1,11,1)-WEEKDAY(DATE(年間!$C$1,11,1))+40)),"")</f>
        <v/>
      </c>
      <c r="F13" s="9" t="str">
        <f>IF(MONTH((DATE(年間!$C$1,11,1)-WEEKDAY(DATE(年間!$C$1,11,1))+41))=11,DAY((DATE(年間!$C$1,11,1)-WEEKDAY(DATE(年間!$C$1,11,1))+41)),"")</f>
        <v/>
      </c>
      <c r="G13" s="9" t="str">
        <f>IF(MONTH((DATE(年間!$C$1,11,1)-WEEKDAY(DATE(年間!$C$1,11,1))+42))=11,DAY((DATE(年間!$C$1,11,1)-WEEKDAY(DATE(年間!$C$1,11,1))+42)),"")</f>
        <v/>
      </c>
    </row>
    <row r="14" spans="1:7" ht="50" customHeight="1" x14ac:dyDescent="0.2">
      <c r="A14" s="10" t="str">
        <f>IF(MONTH((DATE(年間!$C$1,11,1)-WEEKDAY(DATE(年間!$C$1,11,1))+36))=11,IFERROR(VLOOKUP((DATE(年間!$C$1,11,1)-WEEKDAY(DATE(年間!$C$1,11,1))+36),祝日!$A$2:$B$75,2,FALSE),""),"")</f>
        <v/>
      </c>
      <c r="B14" s="10" t="str">
        <f>IF(MONTH((DATE(年間!$C$1,11,1)-WEEKDAY(DATE(年間!$C$1,11,1))+37))=11,IFERROR(VLOOKUP((DATE(年間!$C$1,11,1)-WEEKDAY(DATE(年間!$C$1,11,1))+37),祝日!$A$2:$B$75,2,FALSE),""),"")</f>
        <v/>
      </c>
      <c r="C14" s="10" t="str">
        <f>IF(MONTH((DATE(年間!$C$1,11,1)-WEEKDAY(DATE(年間!$C$1,11,1))+38))=11,IFERROR(VLOOKUP((DATE(年間!$C$1,11,1)-WEEKDAY(DATE(年間!$C$1,11,1))+38),祝日!$A$2:$B$75,2,FALSE),""),"")</f>
        <v/>
      </c>
      <c r="D14" s="10" t="str">
        <f>IF(MONTH((DATE(年間!$C$1,11,1)-WEEKDAY(DATE(年間!$C$1,11,1))+39))=11,IFERROR(VLOOKUP((DATE(年間!$C$1,11,1)-WEEKDAY(DATE(年間!$C$1,11,1))+39),祝日!$A$2:$B$75,2,FALSE),""),"")</f>
        <v/>
      </c>
      <c r="E14" s="10" t="str">
        <f>IF(MONTH((DATE(年間!$C$1,11,1)-WEEKDAY(DATE(年間!$C$1,11,1))+40))=11,IFERROR(VLOOKUP((DATE(年間!$C$1,11,1)-WEEKDAY(DATE(年間!$C$1,11,1))+40),祝日!$A$2:$B$75,2,FALSE),""),"")</f>
        <v/>
      </c>
      <c r="F14" s="10" t="str">
        <f>IF(MONTH((DATE(年間!$C$1,11,1)-WEEKDAY(DATE(年間!$C$1,11,1))+41))=11,IFERROR(VLOOKUP((DATE(年間!$C$1,11,1)-WEEKDAY(DATE(年間!$C$1,11,1))+41),祝日!$A$2:$B$75,2,FALSE),""),"")</f>
        <v/>
      </c>
      <c r="G14" s="10" t="str">
        <f>IF(MONTH((DATE(年間!$C$1,11,1)-WEEKDAY(DATE(年間!$C$1,11,1))+42))=11,IFERROR(VLOOKUP((DATE(年間!$C$1,11,1)-WEEKDAY(DATE(年間!$C$1,11,1))+42),祝日!$A$2:$B$75,2,FALSE),""),"")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3" priority="1">
      <formula>AND(A3&lt;&gt;"",OR(COLUMN(A3)=1,A4&lt;&gt;""))</formula>
    </cfRule>
  </conditionalFormatting>
  <conditionalFormatting sqref="G3 G5 G7 G9 G11 G13">
    <cfRule type="expression" dxfId="2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4"/>
  <sheetViews>
    <sheetView showGridLines="0" workbookViewId="0"/>
  </sheetViews>
  <sheetFormatPr defaultRowHeight="13" x14ac:dyDescent="0.2"/>
  <cols>
    <col min="1" max="7" width="20.08984375" customWidth="1"/>
  </cols>
  <sheetData>
    <row r="1" spans="1:7" ht="44" customHeight="1" x14ac:dyDescent="0.2">
      <c r="A1" s="18" t="str">
        <f>年間!$C$1&amp;"年 12月"</f>
        <v>2027年 12月</v>
      </c>
      <c r="B1" s="14"/>
      <c r="C1" s="14"/>
      <c r="D1" s="14"/>
      <c r="E1" s="14"/>
      <c r="F1" s="14"/>
      <c r="G1" s="14"/>
    </row>
    <row r="2" spans="1:7" ht="22" customHeight="1" x14ac:dyDescent="0.2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 t="s">
        <v>12</v>
      </c>
    </row>
    <row r="3" spans="1:7" ht="26" customHeight="1" x14ac:dyDescent="0.2">
      <c r="A3" s="9" t="str">
        <f>IF(MONTH((DATE(年間!$C$1,12,1)-WEEKDAY(DATE(年間!$C$1,12,1))+1))=12,DAY((DATE(年間!$C$1,12,1)-WEEKDAY(DATE(年間!$C$1,12,1))+1)),"")</f>
        <v/>
      </c>
      <c r="B3" s="9" t="str">
        <f>IF(MONTH((DATE(年間!$C$1,12,1)-WEEKDAY(DATE(年間!$C$1,12,1))+2))=12,DAY((DATE(年間!$C$1,12,1)-WEEKDAY(DATE(年間!$C$1,12,1))+2)),"")</f>
        <v/>
      </c>
      <c r="C3" s="9" t="str">
        <f>IF(MONTH((DATE(年間!$C$1,12,1)-WEEKDAY(DATE(年間!$C$1,12,1))+3))=12,DAY((DATE(年間!$C$1,12,1)-WEEKDAY(DATE(年間!$C$1,12,1))+3)),"")</f>
        <v/>
      </c>
      <c r="D3" s="9">
        <f>IF(MONTH((DATE(年間!$C$1,12,1)-WEEKDAY(DATE(年間!$C$1,12,1))+4))=12,DAY((DATE(年間!$C$1,12,1)-WEEKDAY(DATE(年間!$C$1,12,1))+4)),"")</f>
        <v>1</v>
      </c>
      <c r="E3" s="9">
        <f>IF(MONTH((DATE(年間!$C$1,12,1)-WEEKDAY(DATE(年間!$C$1,12,1))+5))=12,DAY((DATE(年間!$C$1,12,1)-WEEKDAY(DATE(年間!$C$1,12,1))+5)),"")</f>
        <v>2</v>
      </c>
      <c r="F3" s="9">
        <f>IF(MONTH((DATE(年間!$C$1,12,1)-WEEKDAY(DATE(年間!$C$1,12,1))+6))=12,DAY((DATE(年間!$C$1,12,1)-WEEKDAY(DATE(年間!$C$1,12,1))+6)),"")</f>
        <v>3</v>
      </c>
      <c r="G3" s="9">
        <f>IF(MONTH((DATE(年間!$C$1,12,1)-WEEKDAY(DATE(年間!$C$1,12,1))+7))=12,DAY((DATE(年間!$C$1,12,1)-WEEKDAY(DATE(年間!$C$1,12,1))+7)),"")</f>
        <v>4</v>
      </c>
    </row>
    <row r="4" spans="1:7" ht="50" customHeight="1" x14ac:dyDescent="0.2">
      <c r="A4" s="10" t="str">
        <f>IF(MONTH((DATE(年間!$C$1,12,1)-WEEKDAY(DATE(年間!$C$1,12,1))+1))=12,IFERROR(VLOOKUP((DATE(年間!$C$1,12,1)-WEEKDAY(DATE(年間!$C$1,12,1))+1),祝日!$A$2:$B$75,2,FALSE),""),"")</f>
        <v/>
      </c>
      <c r="B4" s="10" t="str">
        <f>IF(MONTH((DATE(年間!$C$1,12,1)-WEEKDAY(DATE(年間!$C$1,12,1))+2))=12,IFERROR(VLOOKUP((DATE(年間!$C$1,12,1)-WEEKDAY(DATE(年間!$C$1,12,1))+2),祝日!$A$2:$B$75,2,FALSE),""),"")</f>
        <v/>
      </c>
      <c r="C4" s="10" t="str">
        <f>IF(MONTH((DATE(年間!$C$1,12,1)-WEEKDAY(DATE(年間!$C$1,12,1))+3))=12,IFERROR(VLOOKUP((DATE(年間!$C$1,12,1)-WEEKDAY(DATE(年間!$C$1,12,1))+3),祝日!$A$2:$B$75,2,FALSE),""),"")</f>
        <v/>
      </c>
      <c r="D4" s="10" t="str">
        <f>IF(MONTH((DATE(年間!$C$1,12,1)-WEEKDAY(DATE(年間!$C$1,12,1))+4))=12,IFERROR(VLOOKUP((DATE(年間!$C$1,12,1)-WEEKDAY(DATE(年間!$C$1,12,1))+4),祝日!$A$2:$B$75,2,FALSE),""),"")</f>
        <v/>
      </c>
      <c r="E4" s="10" t="str">
        <f>IF(MONTH((DATE(年間!$C$1,12,1)-WEEKDAY(DATE(年間!$C$1,12,1))+5))=12,IFERROR(VLOOKUP((DATE(年間!$C$1,12,1)-WEEKDAY(DATE(年間!$C$1,12,1))+5),祝日!$A$2:$B$75,2,FALSE),""),"")</f>
        <v/>
      </c>
      <c r="F4" s="10" t="str">
        <f>IF(MONTH((DATE(年間!$C$1,12,1)-WEEKDAY(DATE(年間!$C$1,12,1))+6))=12,IFERROR(VLOOKUP((DATE(年間!$C$1,12,1)-WEEKDAY(DATE(年間!$C$1,12,1))+6),祝日!$A$2:$B$75,2,FALSE),""),"")</f>
        <v/>
      </c>
      <c r="G4" s="10" t="str">
        <f>IF(MONTH((DATE(年間!$C$1,12,1)-WEEKDAY(DATE(年間!$C$1,12,1))+7))=12,IFERROR(VLOOKUP((DATE(年間!$C$1,12,1)-WEEKDAY(DATE(年間!$C$1,12,1))+7),祝日!$A$2:$B$75,2,FALSE),""),"")</f>
        <v/>
      </c>
    </row>
    <row r="5" spans="1:7" ht="26" customHeight="1" x14ac:dyDescent="0.2">
      <c r="A5" s="9">
        <f>IF(MONTH((DATE(年間!$C$1,12,1)-WEEKDAY(DATE(年間!$C$1,12,1))+8))=12,DAY((DATE(年間!$C$1,12,1)-WEEKDAY(DATE(年間!$C$1,12,1))+8)),"")</f>
        <v>5</v>
      </c>
      <c r="B5" s="9">
        <f>IF(MONTH((DATE(年間!$C$1,12,1)-WEEKDAY(DATE(年間!$C$1,12,1))+9))=12,DAY((DATE(年間!$C$1,12,1)-WEEKDAY(DATE(年間!$C$1,12,1))+9)),"")</f>
        <v>6</v>
      </c>
      <c r="C5" s="9">
        <f>IF(MONTH((DATE(年間!$C$1,12,1)-WEEKDAY(DATE(年間!$C$1,12,1))+10))=12,DAY((DATE(年間!$C$1,12,1)-WEEKDAY(DATE(年間!$C$1,12,1))+10)),"")</f>
        <v>7</v>
      </c>
      <c r="D5" s="9">
        <f>IF(MONTH((DATE(年間!$C$1,12,1)-WEEKDAY(DATE(年間!$C$1,12,1))+11))=12,DAY((DATE(年間!$C$1,12,1)-WEEKDAY(DATE(年間!$C$1,12,1))+11)),"")</f>
        <v>8</v>
      </c>
      <c r="E5" s="9">
        <f>IF(MONTH((DATE(年間!$C$1,12,1)-WEEKDAY(DATE(年間!$C$1,12,1))+12))=12,DAY((DATE(年間!$C$1,12,1)-WEEKDAY(DATE(年間!$C$1,12,1))+12)),"")</f>
        <v>9</v>
      </c>
      <c r="F5" s="9">
        <f>IF(MONTH((DATE(年間!$C$1,12,1)-WEEKDAY(DATE(年間!$C$1,12,1))+13))=12,DAY((DATE(年間!$C$1,12,1)-WEEKDAY(DATE(年間!$C$1,12,1))+13)),"")</f>
        <v>10</v>
      </c>
      <c r="G5" s="9">
        <f>IF(MONTH((DATE(年間!$C$1,12,1)-WEEKDAY(DATE(年間!$C$1,12,1))+14))=12,DAY((DATE(年間!$C$1,12,1)-WEEKDAY(DATE(年間!$C$1,12,1))+14)),"")</f>
        <v>11</v>
      </c>
    </row>
    <row r="6" spans="1:7" ht="50" customHeight="1" x14ac:dyDescent="0.2">
      <c r="A6" s="10" t="str">
        <f>IF(MONTH((DATE(年間!$C$1,12,1)-WEEKDAY(DATE(年間!$C$1,12,1))+8))=12,IFERROR(VLOOKUP((DATE(年間!$C$1,12,1)-WEEKDAY(DATE(年間!$C$1,12,1))+8),祝日!$A$2:$B$75,2,FALSE),""),"")</f>
        <v/>
      </c>
      <c r="B6" s="10" t="str">
        <f>IF(MONTH((DATE(年間!$C$1,12,1)-WEEKDAY(DATE(年間!$C$1,12,1))+9))=12,IFERROR(VLOOKUP((DATE(年間!$C$1,12,1)-WEEKDAY(DATE(年間!$C$1,12,1))+9),祝日!$A$2:$B$75,2,FALSE),""),"")</f>
        <v/>
      </c>
      <c r="C6" s="10" t="str">
        <f>IF(MONTH((DATE(年間!$C$1,12,1)-WEEKDAY(DATE(年間!$C$1,12,1))+10))=12,IFERROR(VLOOKUP((DATE(年間!$C$1,12,1)-WEEKDAY(DATE(年間!$C$1,12,1))+10),祝日!$A$2:$B$75,2,FALSE),""),"")</f>
        <v/>
      </c>
      <c r="D6" s="10" t="str">
        <f>IF(MONTH((DATE(年間!$C$1,12,1)-WEEKDAY(DATE(年間!$C$1,12,1))+11))=12,IFERROR(VLOOKUP((DATE(年間!$C$1,12,1)-WEEKDAY(DATE(年間!$C$1,12,1))+11),祝日!$A$2:$B$75,2,FALSE),""),"")</f>
        <v/>
      </c>
      <c r="E6" s="10" t="str">
        <f>IF(MONTH((DATE(年間!$C$1,12,1)-WEEKDAY(DATE(年間!$C$1,12,1))+12))=12,IFERROR(VLOOKUP((DATE(年間!$C$1,12,1)-WEEKDAY(DATE(年間!$C$1,12,1))+12),祝日!$A$2:$B$75,2,FALSE),""),"")</f>
        <v/>
      </c>
      <c r="F6" s="10" t="str">
        <f>IF(MONTH((DATE(年間!$C$1,12,1)-WEEKDAY(DATE(年間!$C$1,12,1))+13))=12,IFERROR(VLOOKUP((DATE(年間!$C$1,12,1)-WEEKDAY(DATE(年間!$C$1,12,1))+13),祝日!$A$2:$B$75,2,FALSE),""),"")</f>
        <v/>
      </c>
      <c r="G6" s="10" t="str">
        <f>IF(MONTH((DATE(年間!$C$1,12,1)-WEEKDAY(DATE(年間!$C$1,12,1))+14))=12,IFERROR(VLOOKUP((DATE(年間!$C$1,12,1)-WEEKDAY(DATE(年間!$C$1,12,1))+14),祝日!$A$2:$B$75,2,FALSE),""),"")</f>
        <v/>
      </c>
    </row>
    <row r="7" spans="1:7" ht="26" customHeight="1" x14ac:dyDescent="0.2">
      <c r="A7" s="9">
        <f>IF(MONTH((DATE(年間!$C$1,12,1)-WEEKDAY(DATE(年間!$C$1,12,1))+15))=12,DAY((DATE(年間!$C$1,12,1)-WEEKDAY(DATE(年間!$C$1,12,1))+15)),"")</f>
        <v>12</v>
      </c>
      <c r="B7" s="9">
        <f>IF(MONTH((DATE(年間!$C$1,12,1)-WEEKDAY(DATE(年間!$C$1,12,1))+16))=12,DAY((DATE(年間!$C$1,12,1)-WEEKDAY(DATE(年間!$C$1,12,1))+16)),"")</f>
        <v>13</v>
      </c>
      <c r="C7" s="9">
        <f>IF(MONTH((DATE(年間!$C$1,12,1)-WEEKDAY(DATE(年間!$C$1,12,1))+17))=12,DAY((DATE(年間!$C$1,12,1)-WEEKDAY(DATE(年間!$C$1,12,1))+17)),"")</f>
        <v>14</v>
      </c>
      <c r="D7" s="9">
        <f>IF(MONTH((DATE(年間!$C$1,12,1)-WEEKDAY(DATE(年間!$C$1,12,1))+18))=12,DAY((DATE(年間!$C$1,12,1)-WEEKDAY(DATE(年間!$C$1,12,1))+18)),"")</f>
        <v>15</v>
      </c>
      <c r="E7" s="9">
        <f>IF(MONTH((DATE(年間!$C$1,12,1)-WEEKDAY(DATE(年間!$C$1,12,1))+19))=12,DAY((DATE(年間!$C$1,12,1)-WEEKDAY(DATE(年間!$C$1,12,1))+19)),"")</f>
        <v>16</v>
      </c>
      <c r="F7" s="9">
        <f>IF(MONTH((DATE(年間!$C$1,12,1)-WEEKDAY(DATE(年間!$C$1,12,1))+20))=12,DAY((DATE(年間!$C$1,12,1)-WEEKDAY(DATE(年間!$C$1,12,1))+20)),"")</f>
        <v>17</v>
      </c>
      <c r="G7" s="9">
        <f>IF(MONTH((DATE(年間!$C$1,12,1)-WEEKDAY(DATE(年間!$C$1,12,1))+21))=12,DAY((DATE(年間!$C$1,12,1)-WEEKDAY(DATE(年間!$C$1,12,1))+21)),"")</f>
        <v>18</v>
      </c>
    </row>
    <row r="8" spans="1:7" ht="50" customHeight="1" x14ac:dyDescent="0.2">
      <c r="A8" s="10" t="str">
        <f>IF(MONTH((DATE(年間!$C$1,12,1)-WEEKDAY(DATE(年間!$C$1,12,1))+15))=12,IFERROR(VLOOKUP((DATE(年間!$C$1,12,1)-WEEKDAY(DATE(年間!$C$1,12,1))+15),祝日!$A$2:$B$75,2,FALSE),""),"")</f>
        <v/>
      </c>
      <c r="B8" s="10" t="str">
        <f>IF(MONTH((DATE(年間!$C$1,12,1)-WEEKDAY(DATE(年間!$C$1,12,1))+16))=12,IFERROR(VLOOKUP((DATE(年間!$C$1,12,1)-WEEKDAY(DATE(年間!$C$1,12,1))+16),祝日!$A$2:$B$75,2,FALSE),""),"")</f>
        <v/>
      </c>
      <c r="C8" s="10" t="str">
        <f>IF(MONTH((DATE(年間!$C$1,12,1)-WEEKDAY(DATE(年間!$C$1,12,1))+17))=12,IFERROR(VLOOKUP((DATE(年間!$C$1,12,1)-WEEKDAY(DATE(年間!$C$1,12,1))+17),祝日!$A$2:$B$75,2,FALSE),""),"")</f>
        <v/>
      </c>
      <c r="D8" s="10" t="str">
        <f>IF(MONTH((DATE(年間!$C$1,12,1)-WEEKDAY(DATE(年間!$C$1,12,1))+18))=12,IFERROR(VLOOKUP((DATE(年間!$C$1,12,1)-WEEKDAY(DATE(年間!$C$1,12,1))+18),祝日!$A$2:$B$75,2,FALSE),""),"")</f>
        <v/>
      </c>
      <c r="E8" s="10" t="str">
        <f>IF(MONTH((DATE(年間!$C$1,12,1)-WEEKDAY(DATE(年間!$C$1,12,1))+19))=12,IFERROR(VLOOKUP((DATE(年間!$C$1,12,1)-WEEKDAY(DATE(年間!$C$1,12,1))+19),祝日!$A$2:$B$75,2,FALSE),""),"")</f>
        <v/>
      </c>
      <c r="F8" s="10" t="str">
        <f>IF(MONTH((DATE(年間!$C$1,12,1)-WEEKDAY(DATE(年間!$C$1,12,1))+20))=12,IFERROR(VLOOKUP((DATE(年間!$C$1,12,1)-WEEKDAY(DATE(年間!$C$1,12,1))+20),祝日!$A$2:$B$75,2,FALSE),""),"")</f>
        <v/>
      </c>
      <c r="G8" s="10" t="str">
        <f>IF(MONTH((DATE(年間!$C$1,12,1)-WEEKDAY(DATE(年間!$C$1,12,1))+21))=12,IFERROR(VLOOKUP((DATE(年間!$C$1,12,1)-WEEKDAY(DATE(年間!$C$1,12,1))+21),祝日!$A$2:$B$75,2,FALSE),""),"")</f>
        <v/>
      </c>
    </row>
    <row r="9" spans="1:7" ht="26" customHeight="1" x14ac:dyDescent="0.2">
      <c r="A9" s="9">
        <f>IF(MONTH((DATE(年間!$C$1,12,1)-WEEKDAY(DATE(年間!$C$1,12,1))+22))=12,DAY((DATE(年間!$C$1,12,1)-WEEKDAY(DATE(年間!$C$1,12,1))+22)),"")</f>
        <v>19</v>
      </c>
      <c r="B9" s="9">
        <f>IF(MONTH((DATE(年間!$C$1,12,1)-WEEKDAY(DATE(年間!$C$1,12,1))+23))=12,DAY((DATE(年間!$C$1,12,1)-WEEKDAY(DATE(年間!$C$1,12,1))+23)),"")</f>
        <v>20</v>
      </c>
      <c r="C9" s="9">
        <f>IF(MONTH((DATE(年間!$C$1,12,1)-WEEKDAY(DATE(年間!$C$1,12,1))+24))=12,DAY((DATE(年間!$C$1,12,1)-WEEKDAY(DATE(年間!$C$1,12,1))+24)),"")</f>
        <v>21</v>
      </c>
      <c r="D9" s="9">
        <f>IF(MONTH((DATE(年間!$C$1,12,1)-WEEKDAY(DATE(年間!$C$1,12,1))+25))=12,DAY((DATE(年間!$C$1,12,1)-WEEKDAY(DATE(年間!$C$1,12,1))+25)),"")</f>
        <v>22</v>
      </c>
      <c r="E9" s="9">
        <f>IF(MONTH((DATE(年間!$C$1,12,1)-WEEKDAY(DATE(年間!$C$1,12,1))+26))=12,DAY((DATE(年間!$C$1,12,1)-WEEKDAY(DATE(年間!$C$1,12,1))+26)),"")</f>
        <v>23</v>
      </c>
      <c r="F9" s="9">
        <f>IF(MONTH((DATE(年間!$C$1,12,1)-WEEKDAY(DATE(年間!$C$1,12,1))+27))=12,DAY((DATE(年間!$C$1,12,1)-WEEKDAY(DATE(年間!$C$1,12,1))+27)),"")</f>
        <v>24</v>
      </c>
      <c r="G9" s="9">
        <f>IF(MONTH((DATE(年間!$C$1,12,1)-WEEKDAY(DATE(年間!$C$1,12,1))+28))=12,DAY((DATE(年間!$C$1,12,1)-WEEKDAY(DATE(年間!$C$1,12,1))+28)),"")</f>
        <v>25</v>
      </c>
    </row>
    <row r="10" spans="1:7" ht="50" customHeight="1" x14ac:dyDescent="0.2">
      <c r="A10" s="10" t="str">
        <f>IF(MONTH((DATE(年間!$C$1,12,1)-WEEKDAY(DATE(年間!$C$1,12,1))+22))=12,IFERROR(VLOOKUP((DATE(年間!$C$1,12,1)-WEEKDAY(DATE(年間!$C$1,12,1))+22),祝日!$A$2:$B$75,2,FALSE),""),"")</f>
        <v/>
      </c>
      <c r="B10" s="10" t="str">
        <f>IF(MONTH((DATE(年間!$C$1,12,1)-WEEKDAY(DATE(年間!$C$1,12,1))+23))=12,IFERROR(VLOOKUP((DATE(年間!$C$1,12,1)-WEEKDAY(DATE(年間!$C$1,12,1))+23),祝日!$A$2:$B$75,2,FALSE),""),"")</f>
        <v/>
      </c>
      <c r="C10" s="10" t="str">
        <f>IF(MONTH((DATE(年間!$C$1,12,1)-WEEKDAY(DATE(年間!$C$1,12,1))+24))=12,IFERROR(VLOOKUP((DATE(年間!$C$1,12,1)-WEEKDAY(DATE(年間!$C$1,12,1))+24),祝日!$A$2:$B$75,2,FALSE),""),"")</f>
        <v/>
      </c>
      <c r="D10" s="10" t="str">
        <f>IF(MONTH((DATE(年間!$C$1,12,1)-WEEKDAY(DATE(年間!$C$1,12,1))+25))=12,IFERROR(VLOOKUP((DATE(年間!$C$1,12,1)-WEEKDAY(DATE(年間!$C$1,12,1))+25),祝日!$A$2:$B$75,2,FALSE),""),"")</f>
        <v/>
      </c>
      <c r="E10" s="10" t="str">
        <f>IF(MONTH((DATE(年間!$C$1,12,1)-WEEKDAY(DATE(年間!$C$1,12,1))+26))=12,IFERROR(VLOOKUP((DATE(年間!$C$1,12,1)-WEEKDAY(DATE(年間!$C$1,12,1))+26),祝日!$A$2:$B$75,2,FALSE),""),"")</f>
        <v/>
      </c>
      <c r="F10" s="10" t="str">
        <f>IF(MONTH((DATE(年間!$C$1,12,1)-WEEKDAY(DATE(年間!$C$1,12,1))+27))=12,IFERROR(VLOOKUP((DATE(年間!$C$1,12,1)-WEEKDAY(DATE(年間!$C$1,12,1))+27),祝日!$A$2:$B$75,2,FALSE),""),"")</f>
        <v/>
      </c>
      <c r="G10" s="10" t="str">
        <f>IF(MONTH((DATE(年間!$C$1,12,1)-WEEKDAY(DATE(年間!$C$1,12,1))+28))=12,IFERROR(VLOOKUP((DATE(年間!$C$1,12,1)-WEEKDAY(DATE(年間!$C$1,12,1))+28),祝日!$A$2:$B$75,2,FALSE),""),"")</f>
        <v/>
      </c>
    </row>
    <row r="11" spans="1:7" ht="26" customHeight="1" x14ac:dyDescent="0.2">
      <c r="A11" s="9">
        <f>IF(MONTH((DATE(年間!$C$1,12,1)-WEEKDAY(DATE(年間!$C$1,12,1))+29))=12,DAY((DATE(年間!$C$1,12,1)-WEEKDAY(DATE(年間!$C$1,12,1))+29)),"")</f>
        <v>26</v>
      </c>
      <c r="B11" s="9">
        <f>IF(MONTH((DATE(年間!$C$1,12,1)-WEEKDAY(DATE(年間!$C$1,12,1))+30))=12,DAY((DATE(年間!$C$1,12,1)-WEEKDAY(DATE(年間!$C$1,12,1))+30)),"")</f>
        <v>27</v>
      </c>
      <c r="C11" s="9">
        <f>IF(MONTH((DATE(年間!$C$1,12,1)-WEEKDAY(DATE(年間!$C$1,12,1))+31))=12,DAY((DATE(年間!$C$1,12,1)-WEEKDAY(DATE(年間!$C$1,12,1))+31)),"")</f>
        <v>28</v>
      </c>
      <c r="D11" s="9">
        <f>IF(MONTH((DATE(年間!$C$1,12,1)-WEEKDAY(DATE(年間!$C$1,12,1))+32))=12,DAY((DATE(年間!$C$1,12,1)-WEEKDAY(DATE(年間!$C$1,12,1))+32)),"")</f>
        <v>29</v>
      </c>
      <c r="E11" s="9">
        <f>IF(MONTH((DATE(年間!$C$1,12,1)-WEEKDAY(DATE(年間!$C$1,12,1))+33))=12,DAY((DATE(年間!$C$1,12,1)-WEEKDAY(DATE(年間!$C$1,12,1))+33)),"")</f>
        <v>30</v>
      </c>
      <c r="F11" s="9">
        <f>IF(MONTH((DATE(年間!$C$1,12,1)-WEEKDAY(DATE(年間!$C$1,12,1))+34))=12,DAY((DATE(年間!$C$1,12,1)-WEEKDAY(DATE(年間!$C$1,12,1))+34)),"")</f>
        <v>31</v>
      </c>
      <c r="G11" s="9" t="str">
        <f>IF(MONTH((DATE(年間!$C$1,12,1)-WEEKDAY(DATE(年間!$C$1,12,1))+35))=12,DAY((DATE(年間!$C$1,12,1)-WEEKDAY(DATE(年間!$C$1,12,1))+35)),"")</f>
        <v/>
      </c>
    </row>
    <row r="12" spans="1:7" ht="50" customHeight="1" x14ac:dyDescent="0.2">
      <c r="A12" s="10" t="str">
        <f>IF(MONTH((DATE(年間!$C$1,12,1)-WEEKDAY(DATE(年間!$C$1,12,1))+29))=12,IFERROR(VLOOKUP((DATE(年間!$C$1,12,1)-WEEKDAY(DATE(年間!$C$1,12,1))+29),祝日!$A$2:$B$75,2,FALSE),""),"")</f>
        <v/>
      </c>
      <c r="B12" s="10" t="str">
        <f>IF(MONTH((DATE(年間!$C$1,12,1)-WEEKDAY(DATE(年間!$C$1,12,1))+30))=12,IFERROR(VLOOKUP((DATE(年間!$C$1,12,1)-WEEKDAY(DATE(年間!$C$1,12,1))+30),祝日!$A$2:$B$75,2,FALSE),""),"")</f>
        <v/>
      </c>
      <c r="C12" s="10" t="str">
        <f>IF(MONTH((DATE(年間!$C$1,12,1)-WEEKDAY(DATE(年間!$C$1,12,1))+31))=12,IFERROR(VLOOKUP((DATE(年間!$C$1,12,1)-WEEKDAY(DATE(年間!$C$1,12,1))+31),祝日!$A$2:$B$75,2,FALSE),""),"")</f>
        <v/>
      </c>
      <c r="D12" s="10" t="str">
        <f>IF(MONTH((DATE(年間!$C$1,12,1)-WEEKDAY(DATE(年間!$C$1,12,1))+32))=12,IFERROR(VLOOKUP((DATE(年間!$C$1,12,1)-WEEKDAY(DATE(年間!$C$1,12,1))+32),祝日!$A$2:$B$75,2,FALSE),""),"")</f>
        <v/>
      </c>
      <c r="E12" s="10" t="str">
        <f>IF(MONTH((DATE(年間!$C$1,12,1)-WEEKDAY(DATE(年間!$C$1,12,1))+33))=12,IFERROR(VLOOKUP((DATE(年間!$C$1,12,1)-WEEKDAY(DATE(年間!$C$1,12,1))+33),祝日!$A$2:$B$75,2,FALSE),""),"")</f>
        <v/>
      </c>
      <c r="F12" s="10" t="str">
        <f>IF(MONTH((DATE(年間!$C$1,12,1)-WEEKDAY(DATE(年間!$C$1,12,1))+34))=12,IFERROR(VLOOKUP((DATE(年間!$C$1,12,1)-WEEKDAY(DATE(年間!$C$1,12,1))+34),祝日!$A$2:$B$75,2,FALSE),""),"")</f>
        <v/>
      </c>
      <c r="G12" s="10" t="str">
        <f>IF(MONTH((DATE(年間!$C$1,12,1)-WEEKDAY(DATE(年間!$C$1,12,1))+35))=12,IFERROR(VLOOKUP((DATE(年間!$C$1,12,1)-WEEKDAY(DATE(年間!$C$1,12,1))+35),祝日!$A$2:$B$75,2,FALSE),""),"")</f>
        <v/>
      </c>
    </row>
    <row r="13" spans="1:7" ht="26" customHeight="1" x14ac:dyDescent="0.2">
      <c r="A13" s="9" t="str">
        <f>IF(MONTH((DATE(年間!$C$1,12,1)-WEEKDAY(DATE(年間!$C$1,12,1))+36))=12,DAY((DATE(年間!$C$1,12,1)-WEEKDAY(DATE(年間!$C$1,12,1))+36)),"")</f>
        <v/>
      </c>
      <c r="B13" s="9" t="str">
        <f>IF(MONTH((DATE(年間!$C$1,12,1)-WEEKDAY(DATE(年間!$C$1,12,1))+37))=12,DAY((DATE(年間!$C$1,12,1)-WEEKDAY(DATE(年間!$C$1,12,1))+37)),"")</f>
        <v/>
      </c>
      <c r="C13" s="9" t="str">
        <f>IF(MONTH((DATE(年間!$C$1,12,1)-WEEKDAY(DATE(年間!$C$1,12,1))+38))=12,DAY((DATE(年間!$C$1,12,1)-WEEKDAY(DATE(年間!$C$1,12,1))+38)),"")</f>
        <v/>
      </c>
      <c r="D13" s="9" t="str">
        <f>IF(MONTH((DATE(年間!$C$1,12,1)-WEEKDAY(DATE(年間!$C$1,12,1))+39))=12,DAY((DATE(年間!$C$1,12,1)-WEEKDAY(DATE(年間!$C$1,12,1))+39)),"")</f>
        <v/>
      </c>
      <c r="E13" s="9" t="str">
        <f>IF(MONTH((DATE(年間!$C$1,12,1)-WEEKDAY(DATE(年間!$C$1,12,1))+40))=12,DAY((DATE(年間!$C$1,12,1)-WEEKDAY(DATE(年間!$C$1,12,1))+40)),"")</f>
        <v/>
      </c>
      <c r="F13" s="9" t="str">
        <f>IF(MONTH((DATE(年間!$C$1,12,1)-WEEKDAY(DATE(年間!$C$1,12,1))+41))=12,DAY((DATE(年間!$C$1,12,1)-WEEKDAY(DATE(年間!$C$1,12,1))+41)),"")</f>
        <v/>
      </c>
      <c r="G13" s="9" t="str">
        <f>IF(MONTH((DATE(年間!$C$1,12,1)-WEEKDAY(DATE(年間!$C$1,12,1))+42))=12,DAY((DATE(年間!$C$1,12,1)-WEEKDAY(DATE(年間!$C$1,12,1))+42)),"")</f>
        <v/>
      </c>
    </row>
    <row r="14" spans="1:7" ht="50" customHeight="1" x14ac:dyDescent="0.2">
      <c r="A14" s="10" t="str">
        <f>IF(MONTH((DATE(年間!$C$1,12,1)-WEEKDAY(DATE(年間!$C$1,12,1))+36))=12,IFERROR(VLOOKUP((DATE(年間!$C$1,12,1)-WEEKDAY(DATE(年間!$C$1,12,1))+36),祝日!$A$2:$B$75,2,FALSE),""),"")</f>
        <v/>
      </c>
      <c r="B14" s="10" t="str">
        <f>IF(MONTH((DATE(年間!$C$1,12,1)-WEEKDAY(DATE(年間!$C$1,12,1))+37))=12,IFERROR(VLOOKUP((DATE(年間!$C$1,12,1)-WEEKDAY(DATE(年間!$C$1,12,1))+37),祝日!$A$2:$B$75,2,FALSE),""),"")</f>
        <v/>
      </c>
      <c r="C14" s="10" t="str">
        <f>IF(MONTH((DATE(年間!$C$1,12,1)-WEEKDAY(DATE(年間!$C$1,12,1))+38))=12,IFERROR(VLOOKUP((DATE(年間!$C$1,12,1)-WEEKDAY(DATE(年間!$C$1,12,1))+38),祝日!$A$2:$B$75,2,FALSE),""),"")</f>
        <v/>
      </c>
      <c r="D14" s="10" t="str">
        <f>IF(MONTH((DATE(年間!$C$1,12,1)-WEEKDAY(DATE(年間!$C$1,12,1))+39))=12,IFERROR(VLOOKUP((DATE(年間!$C$1,12,1)-WEEKDAY(DATE(年間!$C$1,12,1))+39),祝日!$A$2:$B$75,2,FALSE),""),"")</f>
        <v/>
      </c>
      <c r="E14" s="10" t="str">
        <f>IF(MONTH((DATE(年間!$C$1,12,1)-WEEKDAY(DATE(年間!$C$1,12,1))+40))=12,IFERROR(VLOOKUP((DATE(年間!$C$1,12,1)-WEEKDAY(DATE(年間!$C$1,12,1))+40),祝日!$A$2:$B$75,2,FALSE),""),"")</f>
        <v/>
      </c>
      <c r="F14" s="10" t="str">
        <f>IF(MONTH((DATE(年間!$C$1,12,1)-WEEKDAY(DATE(年間!$C$1,12,1))+41))=12,IFERROR(VLOOKUP((DATE(年間!$C$1,12,1)-WEEKDAY(DATE(年間!$C$1,12,1))+41),祝日!$A$2:$B$75,2,FALSE),""),"")</f>
        <v/>
      </c>
      <c r="G14" s="10" t="str">
        <f>IF(MONTH((DATE(年間!$C$1,12,1)-WEEKDAY(DATE(年間!$C$1,12,1))+42))=12,IFERROR(VLOOKUP((DATE(年間!$C$1,12,1)-WEEKDAY(DATE(年間!$C$1,12,1))+42),祝日!$A$2:$B$75,2,FALSE),""),"")</f>
        <v/>
      </c>
    </row>
  </sheetData>
  <mergeCells count="1">
    <mergeCell ref="A1:G1"/>
  </mergeCells>
  <phoneticPr fontId="17"/>
  <conditionalFormatting sqref="A3:G3 A5:G5 A7:G7 A9:G9 A11:G11 A13:G13">
    <cfRule type="expression" dxfId="1" priority="1">
      <formula>AND(A3&lt;&gt;"",OR(COLUMN(A3)=1,A4&lt;&gt;""))</formula>
    </cfRule>
  </conditionalFormatting>
  <conditionalFormatting sqref="G3 G5 G7 G9 G11 G13">
    <cfRule type="expression" dxfId="0" priority="2">
      <formula>AND(G3&lt;&gt;"",G4="")</formula>
    </cfRule>
  </conditionalFormatting>
  <printOptions horizontalCentered="1"/>
  <pageMargins left="0.4" right="0.4" top="0.4" bottom="0.3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6"/>
  <sheetViews>
    <sheetView workbookViewId="0"/>
  </sheetViews>
  <sheetFormatPr defaultRowHeight="13" x14ac:dyDescent="0.2"/>
  <cols>
    <col min="1" max="1" width="18" customWidth="1"/>
    <col min="2" max="2" width="16" customWidth="1"/>
  </cols>
  <sheetData>
    <row r="1" spans="1:4" ht="18" x14ac:dyDescent="0.55000000000000004">
      <c r="A1" s="11" t="s">
        <v>21</v>
      </c>
      <c r="B1" s="11" t="s">
        <v>22</v>
      </c>
      <c r="D1" t="s">
        <v>23</v>
      </c>
    </row>
    <row r="2" spans="1:4" x14ac:dyDescent="0.2">
      <c r="A2" s="12">
        <v>46023</v>
      </c>
      <c r="B2" t="s">
        <v>24</v>
      </c>
    </row>
    <row r="3" spans="1:4" x14ac:dyDescent="0.2">
      <c r="A3" s="12">
        <v>46034</v>
      </c>
      <c r="B3" t="s">
        <v>25</v>
      </c>
    </row>
    <row r="4" spans="1:4" x14ac:dyDescent="0.2">
      <c r="A4" s="12">
        <v>46064</v>
      </c>
      <c r="B4" t="s">
        <v>26</v>
      </c>
    </row>
    <row r="5" spans="1:4" x14ac:dyDescent="0.2">
      <c r="A5" s="12">
        <v>46076</v>
      </c>
      <c r="B5" t="s">
        <v>27</v>
      </c>
    </row>
    <row r="6" spans="1:4" x14ac:dyDescent="0.2">
      <c r="A6" s="12">
        <v>46101</v>
      </c>
      <c r="B6" t="s">
        <v>28</v>
      </c>
    </row>
    <row r="7" spans="1:4" x14ac:dyDescent="0.2">
      <c r="A7" s="12">
        <v>46141</v>
      </c>
      <c r="B7" t="s">
        <v>29</v>
      </c>
    </row>
    <row r="8" spans="1:4" x14ac:dyDescent="0.2">
      <c r="A8" s="12">
        <v>46145</v>
      </c>
      <c r="B8" t="s">
        <v>30</v>
      </c>
    </row>
    <row r="9" spans="1:4" x14ac:dyDescent="0.2">
      <c r="A9" s="12">
        <v>46146</v>
      </c>
      <c r="B9" t="s">
        <v>31</v>
      </c>
    </row>
    <row r="10" spans="1:4" x14ac:dyDescent="0.2">
      <c r="A10" s="12">
        <v>46147</v>
      </c>
      <c r="B10" t="s">
        <v>32</v>
      </c>
    </row>
    <row r="11" spans="1:4" x14ac:dyDescent="0.2">
      <c r="A11" s="12">
        <v>46148</v>
      </c>
      <c r="B11" t="s">
        <v>33</v>
      </c>
    </row>
    <row r="12" spans="1:4" x14ac:dyDescent="0.2">
      <c r="A12" s="12">
        <v>46223</v>
      </c>
      <c r="B12" t="s">
        <v>34</v>
      </c>
    </row>
    <row r="13" spans="1:4" x14ac:dyDescent="0.2">
      <c r="A13" s="12">
        <v>46245</v>
      </c>
      <c r="B13" t="s">
        <v>35</v>
      </c>
    </row>
    <row r="14" spans="1:4" x14ac:dyDescent="0.2">
      <c r="A14" s="12">
        <v>46286</v>
      </c>
      <c r="B14" t="s">
        <v>36</v>
      </c>
    </row>
    <row r="15" spans="1:4" x14ac:dyDescent="0.2">
      <c r="A15" s="12">
        <v>46287</v>
      </c>
      <c r="B15" t="s">
        <v>37</v>
      </c>
    </row>
    <row r="16" spans="1:4" x14ac:dyDescent="0.2">
      <c r="A16" s="12">
        <v>46288</v>
      </c>
      <c r="B16" t="s">
        <v>38</v>
      </c>
    </row>
    <row r="17" spans="1:2" x14ac:dyDescent="0.2">
      <c r="A17" s="12">
        <v>46307</v>
      </c>
      <c r="B17" t="s">
        <v>39</v>
      </c>
    </row>
    <row r="18" spans="1:2" x14ac:dyDescent="0.2">
      <c r="A18" s="12">
        <v>46329</v>
      </c>
      <c r="B18" t="s">
        <v>40</v>
      </c>
    </row>
    <row r="19" spans="1:2" x14ac:dyDescent="0.2">
      <c r="A19" s="12">
        <v>46349</v>
      </c>
      <c r="B19" t="s">
        <v>41</v>
      </c>
    </row>
    <row r="20" spans="1:2" x14ac:dyDescent="0.2">
      <c r="A20" s="12">
        <v>46388</v>
      </c>
      <c r="B20" t="s">
        <v>24</v>
      </c>
    </row>
    <row r="21" spans="1:2" x14ac:dyDescent="0.2">
      <c r="A21" s="12">
        <v>46398</v>
      </c>
      <c r="B21" t="s">
        <v>25</v>
      </c>
    </row>
    <row r="22" spans="1:2" x14ac:dyDescent="0.2">
      <c r="A22" s="12">
        <v>46429</v>
      </c>
      <c r="B22" t="s">
        <v>26</v>
      </c>
    </row>
    <row r="23" spans="1:2" x14ac:dyDescent="0.2">
      <c r="A23" s="12">
        <v>46441</v>
      </c>
      <c r="B23" t="s">
        <v>27</v>
      </c>
    </row>
    <row r="24" spans="1:2" x14ac:dyDescent="0.2">
      <c r="A24" s="12">
        <v>46467</v>
      </c>
      <c r="B24" t="s">
        <v>28</v>
      </c>
    </row>
    <row r="25" spans="1:2" x14ac:dyDescent="0.2">
      <c r="A25" s="12">
        <v>46468</v>
      </c>
      <c r="B25" t="s">
        <v>33</v>
      </c>
    </row>
    <row r="26" spans="1:2" x14ac:dyDescent="0.2">
      <c r="A26" s="12">
        <v>46506</v>
      </c>
      <c r="B26" t="s">
        <v>29</v>
      </c>
    </row>
    <row r="27" spans="1:2" x14ac:dyDescent="0.2">
      <c r="A27" s="12">
        <v>46510</v>
      </c>
      <c r="B27" t="s">
        <v>30</v>
      </c>
    </row>
    <row r="28" spans="1:2" x14ac:dyDescent="0.2">
      <c r="A28" s="12">
        <v>46511</v>
      </c>
      <c r="B28" t="s">
        <v>31</v>
      </c>
    </row>
    <row r="29" spans="1:2" x14ac:dyDescent="0.2">
      <c r="A29" s="12">
        <v>46512</v>
      </c>
      <c r="B29" t="s">
        <v>32</v>
      </c>
    </row>
    <row r="30" spans="1:2" x14ac:dyDescent="0.2">
      <c r="A30" s="12">
        <v>46587</v>
      </c>
      <c r="B30" t="s">
        <v>34</v>
      </c>
    </row>
    <row r="31" spans="1:2" x14ac:dyDescent="0.2">
      <c r="A31" s="12">
        <v>46610</v>
      </c>
      <c r="B31" t="s">
        <v>35</v>
      </c>
    </row>
    <row r="32" spans="1:2" x14ac:dyDescent="0.2">
      <c r="A32" s="12">
        <v>46650</v>
      </c>
      <c r="B32" t="s">
        <v>36</v>
      </c>
    </row>
    <row r="33" spans="1:2" x14ac:dyDescent="0.2">
      <c r="A33" s="12">
        <v>46653</v>
      </c>
      <c r="B33" t="s">
        <v>38</v>
      </c>
    </row>
    <row r="34" spans="1:2" x14ac:dyDescent="0.2">
      <c r="A34" s="12">
        <v>46671</v>
      </c>
      <c r="B34" t="s">
        <v>39</v>
      </c>
    </row>
    <row r="35" spans="1:2" x14ac:dyDescent="0.2">
      <c r="A35" s="12">
        <v>46694</v>
      </c>
      <c r="B35" t="s">
        <v>40</v>
      </c>
    </row>
    <row r="36" spans="1:2" x14ac:dyDescent="0.2">
      <c r="A36" s="12">
        <v>46714</v>
      </c>
      <c r="B36" t="s">
        <v>41</v>
      </c>
    </row>
  </sheetData>
  <phoneticPr fontId="1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年間</vt:lpstr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祝日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2026-10-22T22:32:55Z</dcterms:created>
  <dcterms:modified xsi:type="dcterms:W3CDTF">2026-10-22T22:32:58Z</dcterms:modified>
</cp:coreProperties>
</file>