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間行事予定表" sheetId="1" state="visible" r:id="rId1"/>
    <sheet xmlns:r="http://schemas.openxmlformats.org/officeDocument/2006/relationships" name="行事の一覧" sheetId="2" state="visible" r:id="rId2"/>
    <sheet xmlns:r="http://schemas.openxmlformats.org/officeDocument/2006/relationships" name="祝日" sheetId="3" state="visible" r:id="rId3"/>
  </sheets>
  <definedNames>
    <definedName name="_xlnm.Print_Area" localSheetId="0">'年間行事予定表'!$A$1:$Y$35</definedName>
    <definedName name="_xlnm.Print_Area" localSheetId="1">'行事の一覧'!$A$1:$F$33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/m/d(aaa)"/>
  </numFmts>
  <fonts count="14">
    <font>
      <name val="Calibri"/>
      <family val="2"/>
      <color theme="1"/>
      <sz val="11"/>
      <scheme val="minor"/>
    </font>
    <font>
      <name val="游ゴシック"/>
      <b val="1"/>
      <sz val="18"/>
    </font>
    <font>
      <name val="游ゴシック"/>
      <b val="1"/>
      <sz val="9"/>
    </font>
    <font>
      <name val="游ゴシック"/>
      <b val="1"/>
      <sz val="12"/>
    </font>
    <font>
      <name val="游ゴシック"/>
      <sz val="8"/>
    </font>
    <font>
      <name val="游ゴシック"/>
      <sz val="9"/>
    </font>
    <font>
      <name val="游ゴシック"/>
      <b val="1"/>
      <sz val="11"/>
    </font>
    <font>
      <name val="游ゴシック"/>
      <sz val="8.5"/>
    </font>
    <font>
      <name val="游ゴシック"/>
      <b val="1"/>
      <sz val="8.5"/>
    </font>
    <font>
      <name val="游ゴシック"/>
      <b val="1"/>
      <sz val="16"/>
    </font>
    <font>
      <name val="游ゴシック"/>
      <b val="1"/>
      <sz val="10"/>
    </font>
    <font>
      <name val="游ゴシック"/>
      <sz val="10"/>
    </font>
    <font>
      <name val="游ゴシック"/>
      <sz val="10.5"/>
    </font>
    <font>
      <name val="游ゴシック"/>
      <sz val="9.5"/>
    </font>
  </fonts>
  <fills count="6">
    <fill>
      <patternFill/>
    </fill>
    <fill>
      <patternFill patternType="gray125"/>
    </fill>
    <fill>
      <patternFill patternType="solid">
        <fgColor rgb="00DDEBF7"/>
      </patternFill>
    </fill>
    <fill>
      <patternFill patternType="solid">
        <fgColor rgb="00FFF6CC"/>
      </patternFill>
    </fill>
    <fill>
      <patternFill patternType="solid">
        <fgColor rgb="00E3F1F3"/>
      </patternFill>
    </fill>
    <fill>
      <patternFill patternType="solid">
        <fgColor rgb="00F2F2F2"/>
      </patternFill>
    </fill>
  </fills>
  <borders count="3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shrinkToFit="1"/>
    </xf>
    <xf numFmtId="1" fontId="3" fillId="3" borderId="1" applyAlignment="1" pivotButton="0" quotePrefix="0" xfId="0">
      <alignment horizontal="center" vertical="center" shrinkToFit="1"/>
    </xf>
    <xf numFmtId="0" fontId="4" fillId="0" borderId="0" pivotButton="0" quotePrefix="0" xfId="0"/>
    <xf numFmtId="0" fontId="3" fillId="0" borderId="0" applyAlignment="1" pivotButton="0" quotePrefix="0" xfId="0">
      <alignment horizontal="right"/>
    </xf>
    <xf numFmtId="0" fontId="5" fillId="4" borderId="1" applyAlignment="1" pivotButton="0" quotePrefix="0" xfId="0">
      <alignment horizontal="center" vertical="center" shrinkToFit="1"/>
    </xf>
    <xf numFmtId="0" fontId="6" fillId="4" borderId="1" applyAlignment="1" pivotButton="0" quotePrefix="0" xfId="0">
      <alignment horizontal="center" vertical="center" shrinkToFit="1"/>
    </xf>
    <xf numFmtId="0" fontId="0" fillId="0" borderId="2" pivotButton="0" quotePrefix="0" xfId="0"/>
    <xf numFmtId="0" fontId="7" fillId="5" borderId="1" applyAlignment="1" pivotButton="0" quotePrefix="0" xfId="0">
      <alignment horizontal="center" vertical="center" shrinkToFit="1"/>
    </xf>
    <xf numFmtId="0" fontId="7" fillId="0" borderId="1" applyAlignment="1" pivotButton="0" quotePrefix="0" xfId="0">
      <alignment horizontal="center" vertical="center" shrinkToFit="1"/>
    </xf>
    <xf numFmtId="0" fontId="7" fillId="0" borderId="1" applyAlignment="1" pivotButton="0" quotePrefix="0" xfId="0">
      <alignment horizontal="left" vertical="center" shrinkToFit="1"/>
    </xf>
    <xf numFmtId="0" fontId="8" fillId="0" borderId="1" applyAlignment="1" pivotButton="0" quotePrefix="0" xfId="0">
      <alignment horizontal="left" vertical="center" shrinkToFit="1"/>
    </xf>
    <xf numFmtId="0" fontId="9" fillId="0" borderId="0" pivotButton="0" quotePrefix="0" xfId="0"/>
    <xf numFmtId="0" fontId="10" fillId="4" borderId="1" applyAlignment="1" pivotButton="0" quotePrefix="0" xfId="0">
      <alignment horizontal="center" vertical="center" shrinkToFit="1"/>
    </xf>
    <xf numFmtId="0" fontId="10" fillId="5" borderId="1" applyAlignment="1" pivotButton="0" quotePrefix="0" xfId="0">
      <alignment horizontal="center" vertical="center" shrinkToFit="1"/>
    </xf>
    <xf numFmtId="0" fontId="11" fillId="3" borderId="1" applyAlignment="1" pivotButton="0" quotePrefix="0" xfId="0">
      <alignment horizontal="center" vertical="center" shrinkToFit="1"/>
    </xf>
    <xf numFmtId="0" fontId="12" fillId="3" borderId="1" applyAlignment="1" pivotButton="0" quotePrefix="0" xfId="0">
      <alignment horizontal="left" vertical="center" shrinkToFit="1"/>
    </xf>
    <xf numFmtId="0" fontId="13" fillId="3" borderId="1" applyAlignment="1" pivotButton="0" quotePrefix="0" xfId="0">
      <alignment horizontal="left" vertical="center" shrinkToFit="1"/>
    </xf>
    <xf numFmtId="0" fontId="5" fillId="3" borderId="1" applyAlignment="1" pivotButton="0" quotePrefix="0" xfId="0">
      <alignment horizontal="left" vertical="center" shrinkToFit="1"/>
    </xf>
    <xf numFmtId="165" fontId="0" fillId="0" borderId="0" pivotButton="0" quotePrefix="0" xfId="0"/>
  </cellXfs>
  <cellStyles count="1">
    <cellStyle name="Normal" xfId="0" builtinId="0" hidden="0"/>
  </cellStyles>
  <dxfs count="3">
    <dxf>
      <fill>
        <patternFill patternType="solid">
          <fgColor rgb="00D9D9D9"/>
          <bgColor rgb="00D9D9D9"/>
        </patternFill>
      </fill>
    </dxf>
    <dxf>
      <fill>
        <patternFill patternType="solid">
          <fgColor rgb="00FDE9E7"/>
          <bgColor rgb="00FDE9E7"/>
        </patternFill>
      </fill>
    </dxf>
    <dxf>
      <fill>
        <patternFill patternType="solid">
          <fgColor rgb="00E8F0FA"/>
          <bgColor rgb="00E8F0F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Y35"/>
  <sheetViews>
    <sheetView showGridLines="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.5" customWidth="1" min="1" max="1"/>
    <col width="4.2" customWidth="1" min="2" max="2"/>
    <col width="12.5" customWidth="1" min="3" max="3"/>
    <col width="4.2" customWidth="1" min="4" max="4"/>
    <col width="12.5" customWidth="1" min="5" max="5"/>
    <col width="4.2" customWidth="1" min="6" max="6"/>
    <col width="12.5" customWidth="1" min="7" max="7"/>
    <col width="4.2" customWidth="1" min="8" max="8"/>
    <col width="12.5" customWidth="1" min="9" max="9"/>
    <col width="4.2" customWidth="1" min="10" max="10"/>
    <col width="12.5" customWidth="1" min="11" max="11"/>
    <col width="4.2" customWidth="1" min="12" max="12"/>
    <col width="12.5" customWidth="1" min="13" max="13"/>
    <col width="4.2" customWidth="1" min="14" max="14"/>
    <col width="12.5" customWidth="1" min="15" max="15"/>
    <col width="4.2" customWidth="1" min="16" max="16"/>
    <col width="12.5" customWidth="1" min="17" max="17"/>
    <col width="4.2" customWidth="1" min="18" max="18"/>
    <col width="12.5" customWidth="1" min="19" max="19"/>
    <col width="4.2" customWidth="1" min="20" max="20"/>
    <col width="12.5" customWidth="1" min="21" max="21"/>
    <col width="4.2" customWidth="1" min="22" max="22"/>
    <col width="12.5" customWidth="1" min="23" max="23"/>
    <col width="4.2" customWidth="1" min="24" max="24"/>
    <col width="12.5" customWidth="1" min="25" max="25"/>
  </cols>
  <sheetData>
    <row r="1">
      <c r="B1" s="1">
        <f>C2&amp;"年度 年間行事予定表"</f>
        <v/>
      </c>
    </row>
    <row r="2">
      <c r="B2" s="2" t="inlineStr">
        <is>
          <t>年度</t>
        </is>
      </c>
      <c r="C2" s="3" t="n">
        <v>2026</v>
      </c>
      <c r="D2" s="4" t="inlineStr">
        <is>
          <t>← 年度を入れると、4月〜3月の日付・曜日・祝日が入ります。土曜は青、日曜・祝日は赤。行事は日付の右の欄に書きます(祝日名は上書きしてかまいません)。</t>
        </is>
      </c>
      <c r="U2" s="5" t="inlineStr">
        <is>
          <t>○○小学校</t>
        </is>
      </c>
    </row>
    <row r="4">
      <c r="A4" s="6" t="n"/>
      <c r="B4" s="7" t="inlineStr">
        <is>
          <t>4月</t>
        </is>
      </c>
      <c r="C4" s="8" t="n"/>
      <c r="D4" s="7" t="inlineStr">
        <is>
          <t>5月</t>
        </is>
      </c>
      <c r="E4" s="8" t="n"/>
      <c r="F4" s="7" t="inlineStr">
        <is>
          <t>6月</t>
        </is>
      </c>
      <c r="G4" s="8" t="n"/>
      <c r="H4" s="7" t="inlineStr">
        <is>
          <t>7月</t>
        </is>
      </c>
      <c r="I4" s="8" t="n"/>
      <c r="J4" s="7" t="inlineStr">
        <is>
          <t>8月</t>
        </is>
      </c>
      <c r="K4" s="8" t="n"/>
      <c r="L4" s="7" t="inlineStr">
        <is>
          <t>9月</t>
        </is>
      </c>
      <c r="M4" s="8" t="n"/>
      <c r="N4" s="7" t="inlineStr">
        <is>
          <t>10月</t>
        </is>
      </c>
      <c r="O4" s="8" t="n"/>
      <c r="P4" s="7" t="inlineStr">
        <is>
          <t>11月</t>
        </is>
      </c>
      <c r="Q4" s="8" t="n"/>
      <c r="R4" s="7" t="inlineStr">
        <is>
          <t>12月</t>
        </is>
      </c>
      <c r="S4" s="8" t="n"/>
      <c r="T4" s="7" t="inlineStr">
        <is>
          <t>1月</t>
        </is>
      </c>
      <c r="U4" s="8" t="n"/>
      <c r="V4" s="7" t="inlineStr">
        <is>
          <t>2月</t>
        </is>
      </c>
      <c r="W4" s="8" t="n"/>
      <c r="X4" s="7" t="inlineStr">
        <is>
          <t>3月</t>
        </is>
      </c>
      <c r="Y4" s="8" t="n"/>
    </row>
    <row r="5" ht="17" customHeight="1">
      <c r="A5" s="9" t="n">
        <v>1</v>
      </c>
      <c r="B5" s="10">
        <f>IF(DAY(DATE(($C$2+0),4,1))=1,TEXT(DATE(($C$2+0),4,1),"aaa"),"")</f>
        <v/>
      </c>
      <c r="C5" s="11">
        <f>IF(DAY(DATE(($C$2+0),4,1))=1,IFERROR(VLOOKUP(DATE(($C$2+0),4,1),祝日!$A$2:$B$65,2,FALSE),""),"")</f>
        <v/>
      </c>
      <c r="D5" s="10">
        <f>IF(DAY(DATE(($C$2+0),5,1))=1,TEXT(DATE(($C$2+0),5,1),"aaa"),"")</f>
        <v/>
      </c>
      <c r="E5" s="11">
        <f>IF(DAY(DATE(($C$2+0),5,1))=1,IFERROR(VLOOKUP(DATE(($C$2+0),5,1),祝日!$A$2:$B$65,2,FALSE),""),"")</f>
        <v/>
      </c>
      <c r="F5" s="10">
        <f>IF(DAY(DATE(($C$2+0),6,1))=1,TEXT(DATE(($C$2+0),6,1),"aaa"),"")</f>
        <v/>
      </c>
      <c r="G5" s="11">
        <f>IF(DAY(DATE(($C$2+0),6,1))=1,IFERROR(VLOOKUP(DATE(($C$2+0),6,1),祝日!$A$2:$B$65,2,FALSE),""),"")</f>
        <v/>
      </c>
      <c r="H5" s="10">
        <f>IF(DAY(DATE(($C$2+0),7,1))=1,TEXT(DATE(($C$2+0),7,1),"aaa"),"")</f>
        <v/>
      </c>
      <c r="I5" s="11">
        <f>IF(DAY(DATE(($C$2+0),7,1))=1,IFERROR(VLOOKUP(DATE(($C$2+0),7,1),祝日!$A$2:$B$65,2,FALSE),""),"")</f>
        <v/>
      </c>
      <c r="J5" s="10">
        <f>IF(DAY(DATE(($C$2+0),8,1))=1,TEXT(DATE(($C$2+0),8,1),"aaa"),"")</f>
        <v/>
      </c>
      <c r="K5" s="11">
        <f>IF(DAY(DATE(($C$2+0),8,1))=1,IFERROR(VLOOKUP(DATE(($C$2+0),8,1),祝日!$A$2:$B$65,2,FALSE),""),"")</f>
        <v/>
      </c>
      <c r="L5" s="10">
        <f>IF(DAY(DATE(($C$2+0),9,1))=1,TEXT(DATE(($C$2+0),9,1),"aaa"),"")</f>
        <v/>
      </c>
      <c r="M5" s="11">
        <f>IF(DAY(DATE(($C$2+0),9,1))=1,IFERROR(VLOOKUP(DATE(($C$2+0),9,1),祝日!$A$2:$B$65,2,FALSE),""),"")</f>
        <v/>
      </c>
      <c r="N5" s="10">
        <f>IF(DAY(DATE(($C$2+0),10,1))=1,TEXT(DATE(($C$2+0),10,1),"aaa"),"")</f>
        <v/>
      </c>
      <c r="O5" s="11">
        <f>IF(DAY(DATE(($C$2+0),10,1))=1,IFERROR(VLOOKUP(DATE(($C$2+0),10,1),祝日!$A$2:$B$65,2,FALSE),""),"")</f>
        <v/>
      </c>
      <c r="P5" s="10">
        <f>IF(DAY(DATE(($C$2+0),11,1))=1,TEXT(DATE(($C$2+0),11,1),"aaa"),"")</f>
        <v/>
      </c>
      <c r="Q5" s="11">
        <f>IF(DAY(DATE(($C$2+0),11,1))=1,IFERROR(VLOOKUP(DATE(($C$2+0),11,1),祝日!$A$2:$B$65,2,FALSE),""),"")</f>
        <v/>
      </c>
      <c r="R5" s="10">
        <f>IF(DAY(DATE(($C$2+0),12,1))=1,TEXT(DATE(($C$2+0),12,1),"aaa"),"")</f>
        <v/>
      </c>
      <c r="S5" s="11">
        <f>IF(DAY(DATE(($C$2+0),12,1))=1,IFERROR(VLOOKUP(DATE(($C$2+0),12,1),祝日!$A$2:$B$65,2,FALSE),""),"")</f>
        <v/>
      </c>
      <c r="T5" s="10">
        <f>IF(DAY(DATE(($C$2+1),1,1))=1,TEXT(DATE(($C$2+1),1,1),"aaa"),"")</f>
        <v/>
      </c>
      <c r="U5" s="11">
        <f>IF(DAY(DATE(($C$2+1),1,1))=1,IFERROR(VLOOKUP(DATE(($C$2+1),1,1),祝日!$A$2:$B$65,2,FALSE),""),"")</f>
        <v/>
      </c>
      <c r="V5" s="10">
        <f>IF(DAY(DATE(($C$2+1),2,1))=1,TEXT(DATE(($C$2+1),2,1),"aaa"),"")</f>
        <v/>
      </c>
      <c r="W5" s="11">
        <f>IF(DAY(DATE(($C$2+1),2,1))=1,IFERROR(VLOOKUP(DATE(($C$2+1),2,1),祝日!$A$2:$B$65,2,FALSE),""),"")</f>
        <v/>
      </c>
      <c r="X5" s="10">
        <f>IF(DAY(DATE(($C$2+1),3,1))=1,TEXT(DATE(($C$2+1),3,1),"aaa"),"")</f>
        <v/>
      </c>
      <c r="Y5" s="11">
        <f>IF(DAY(DATE(($C$2+1),3,1))=1,IFERROR(VLOOKUP(DATE(($C$2+1),3,1),祝日!$A$2:$B$65,2,FALSE),""),"")</f>
        <v/>
      </c>
    </row>
    <row r="6" ht="17" customHeight="1">
      <c r="A6" s="9" t="n">
        <v>2</v>
      </c>
      <c r="B6" s="10">
        <f>IF(DAY(DATE(($C$2+0),4,2))=2,TEXT(DATE(($C$2+0),4,2),"aaa"),"")</f>
        <v/>
      </c>
      <c r="C6" s="11">
        <f>IF(DAY(DATE(($C$2+0),4,2))=2,IFERROR(VLOOKUP(DATE(($C$2+0),4,2),祝日!$A$2:$B$65,2,FALSE),""),"")</f>
        <v/>
      </c>
      <c r="D6" s="10">
        <f>IF(DAY(DATE(($C$2+0),5,2))=2,TEXT(DATE(($C$2+0),5,2),"aaa"),"")</f>
        <v/>
      </c>
      <c r="E6" s="11">
        <f>IF(DAY(DATE(($C$2+0),5,2))=2,IFERROR(VLOOKUP(DATE(($C$2+0),5,2),祝日!$A$2:$B$65,2,FALSE),""),"")</f>
        <v/>
      </c>
      <c r="F6" s="10">
        <f>IF(DAY(DATE(($C$2+0),6,2))=2,TEXT(DATE(($C$2+0),6,2),"aaa"),"")</f>
        <v/>
      </c>
      <c r="G6" s="11">
        <f>IF(DAY(DATE(($C$2+0),6,2))=2,IFERROR(VLOOKUP(DATE(($C$2+0),6,2),祝日!$A$2:$B$65,2,FALSE),""),"")</f>
        <v/>
      </c>
      <c r="H6" s="10">
        <f>IF(DAY(DATE(($C$2+0),7,2))=2,TEXT(DATE(($C$2+0),7,2),"aaa"),"")</f>
        <v/>
      </c>
      <c r="I6" s="11">
        <f>IF(DAY(DATE(($C$2+0),7,2))=2,IFERROR(VLOOKUP(DATE(($C$2+0),7,2),祝日!$A$2:$B$65,2,FALSE),""),"")</f>
        <v/>
      </c>
      <c r="J6" s="10">
        <f>IF(DAY(DATE(($C$2+0),8,2))=2,TEXT(DATE(($C$2+0),8,2),"aaa"),"")</f>
        <v/>
      </c>
      <c r="K6" s="11">
        <f>IF(DAY(DATE(($C$2+0),8,2))=2,IFERROR(VLOOKUP(DATE(($C$2+0),8,2),祝日!$A$2:$B$65,2,FALSE),""),"")</f>
        <v/>
      </c>
      <c r="L6" s="10">
        <f>IF(DAY(DATE(($C$2+0),9,2))=2,TEXT(DATE(($C$2+0),9,2),"aaa"),"")</f>
        <v/>
      </c>
      <c r="M6" s="11">
        <f>IF(DAY(DATE(($C$2+0),9,2))=2,IFERROR(VLOOKUP(DATE(($C$2+0),9,2),祝日!$A$2:$B$65,2,FALSE),""),"")</f>
        <v/>
      </c>
      <c r="N6" s="10">
        <f>IF(DAY(DATE(($C$2+0),10,2))=2,TEXT(DATE(($C$2+0),10,2),"aaa"),"")</f>
        <v/>
      </c>
      <c r="O6" s="11">
        <f>IF(DAY(DATE(($C$2+0),10,2))=2,IFERROR(VLOOKUP(DATE(($C$2+0),10,2),祝日!$A$2:$B$65,2,FALSE),""),"")</f>
        <v/>
      </c>
      <c r="P6" s="10">
        <f>IF(DAY(DATE(($C$2+0),11,2))=2,TEXT(DATE(($C$2+0),11,2),"aaa"),"")</f>
        <v/>
      </c>
      <c r="Q6" s="11">
        <f>IF(DAY(DATE(($C$2+0),11,2))=2,IFERROR(VLOOKUP(DATE(($C$2+0),11,2),祝日!$A$2:$B$65,2,FALSE),""),"")</f>
        <v/>
      </c>
      <c r="R6" s="10">
        <f>IF(DAY(DATE(($C$2+0),12,2))=2,TEXT(DATE(($C$2+0),12,2),"aaa"),"")</f>
        <v/>
      </c>
      <c r="S6" s="11">
        <f>IF(DAY(DATE(($C$2+0),12,2))=2,IFERROR(VLOOKUP(DATE(($C$2+0),12,2),祝日!$A$2:$B$65,2,FALSE),""),"")</f>
        <v/>
      </c>
      <c r="T6" s="10">
        <f>IF(DAY(DATE(($C$2+1),1,2))=2,TEXT(DATE(($C$2+1),1,2),"aaa"),"")</f>
        <v/>
      </c>
      <c r="U6" s="11">
        <f>IF(DAY(DATE(($C$2+1),1,2))=2,IFERROR(VLOOKUP(DATE(($C$2+1),1,2),祝日!$A$2:$B$65,2,FALSE),""),"")</f>
        <v/>
      </c>
      <c r="V6" s="10">
        <f>IF(DAY(DATE(($C$2+1),2,2))=2,TEXT(DATE(($C$2+1),2,2),"aaa"),"")</f>
        <v/>
      </c>
      <c r="W6" s="11">
        <f>IF(DAY(DATE(($C$2+1),2,2))=2,IFERROR(VLOOKUP(DATE(($C$2+1),2,2),祝日!$A$2:$B$65,2,FALSE),""),"")</f>
        <v/>
      </c>
      <c r="X6" s="10">
        <f>IF(DAY(DATE(($C$2+1),3,2))=2,TEXT(DATE(($C$2+1),3,2),"aaa"),"")</f>
        <v/>
      </c>
      <c r="Y6" s="11">
        <f>IF(DAY(DATE(($C$2+1),3,2))=2,IFERROR(VLOOKUP(DATE(($C$2+1),3,2),祝日!$A$2:$B$65,2,FALSE),""),"")</f>
        <v/>
      </c>
    </row>
    <row r="7" ht="17" customHeight="1">
      <c r="A7" s="9" t="n">
        <v>3</v>
      </c>
      <c r="B7" s="10">
        <f>IF(DAY(DATE(($C$2+0),4,3))=3,TEXT(DATE(($C$2+0),4,3),"aaa"),"")</f>
        <v/>
      </c>
      <c r="C7" s="11">
        <f>IF(DAY(DATE(($C$2+0),4,3))=3,IFERROR(VLOOKUP(DATE(($C$2+0),4,3),祝日!$A$2:$B$65,2,FALSE),""),"")</f>
        <v/>
      </c>
      <c r="D7" s="10">
        <f>IF(DAY(DATE(($C$2+0),5,3))=3,TEXT(DATE(($C$2+0),5,3),"aaa"),"")</f>
        <v/>
      </c>
      <c r="E7" s="11">
        <f>IF(DAY(DATE(($C$2+0),5,3))=3,IFERROR(VLOOKUP(DATE(($C$2+0),5,3),祝日!$A$2:$B$65,2,FALSE),""),"")</f>
        <v/>
      </c>
      <c r="F7" s="10">
        <f>IF(DAY(DATE(($C$2+0),6,3))=3,TEXT(DATE(($C$2+0),6,3),"aaa"),"")</f>
        <v/>
      </c>
      <c r="G7" s="11">
        <f>IF(DAY(DATE(($C$2+0),6,3))=3,IFERROR(VLOOKUP(DATE(($C$2+0),6,3),祝日!$A$2:$B$65,2,FALSE),""),"")</f>
        <v/>
      </c>
      <c r="H7" s="10">
        <f>IF(DAY(DATE(($C$2+0),7,3))=3,TEXT(DATE(($C$2+0),7,3),"aaa"),"")</f>
        <v/>
      </c>
      <c r="I7" s="11">
        <f>IF(DAY(DATE(($C$2+0),7,3))=3,IFERROR(VLOOKUP(DATE(($C$2+0),7,3),祝日!$A$2:$B$65,2,FALSE),""),"")</f>
        <v/>
      </c>
      <c r="J7" s="10">
        <f>IF(DAY(DATE(($C$2+0),8,3))=3,TEXT(DATE(($C$2+0),8,3),"aaa"),"")</f>
        <v/>
      </c>
      <c r="K7" s="11">
        <f>IF(DAY(DATE(($C$2+0),8,3))=3,IFERROR(VLOOKUP(DATE(($C$2+0),8,3),祝日!$A$2:$B$65,2,FALSE),""),"")</f>
        <v/>
      </c>
      <c r="L7" s="10">
        <f>IF(DAY(DATE(($C$2+0),9,3))=3,TEXT(DATE(($C$2+0),9,3),"aaa"),"")</f>
        <v/>
      </c>
      <c r="M7" s="11">
        <f>IF(DAY(DATE(($C$2+0),9,3))=3,IFERROR(VLOOKUP(DATE(($C$2+0),9,3),祝日!$A$2:$B$65,2,FALSE),""),"")</f>
        <v/>
      </c>
      <c r="N7" s="10">
        <f>IF(DAY(DATE(($C$2+0),10,3))=3,TEXT(DATE(($C$2+0),10,3),"aaa"),"")</f>
        <v/>
      </c>
      <c r="O7" s="11">
        <f>IF(DAY(DATE(($C$2+0),10,3))=3,IFERROR(VLOOKUP(DATE(($C$2+0),10,3),祝日!$A$2:$B$65,2,FALSE),""),"")</f>
        <v/>
      </c>
      <c r="P7" s="10">
        <f>IF(DAY(DATE(($C$2+0),11,3))=3,TEXT(DATE(($C$2+0),11,3),"aaa"),"")</f>
        <v/>
      </c>
      <c r="Q7" s="11">
        <f>IF(DAY(DATE(($C$2+0),11,3))=3,IFERROR(VLOOKUP(DATE(($C$2+0),11,3),祝日!$A$2:$B$65,2,FALSE),""),"")</f>
        <v/>
      </c>
      <c r="R7" s="10">
        <f>IF(DAY(DATE(($C$2+0),12,3))=3,TEXT(DATE(($C$2+0),12,3),"aaa"),"")</f>
        <v/>
      </c>
      <c r="S7" s="11">
        <f>IF(DAY(DATE(($C$2+0),12,3))=3,IFERROR(VLOOKUP(DATE(($C$2+0),12,3),祝日!$A$2:$B$65,2,FALSE),""),"")</f>
        <v/>
      </c>
      <c r="T7" s="10">
        <f>IF(DAY(DATE(($C$2+1),1,3))=3,TEXT(DATE(($C$2+1),1,3),"aaa"),"")</f>
        <v/>
      </c>
      <c r="U7" s="11">
        <f>IF(DAY(DATE(($C$2+1),1,3))=3,IFERROR(VLOOKUP(DATE(($C$2+1),1,3),祝日!$A$2:$B$65,2,FALSE),""),"")</f>
        <v/>
      </c>
      <c r="V7" s="10">
        <f>IF(DAY(DATE(($C$2+1),2,3))=3,TEXT(DATE(($C$2+1),2,3),"aaa"),"")</f>
        <v/>
      </c>
      <c r="W7" s="11">
        <f>IF(DAY(DATE(($C$2+1),2,3))=3,IFERROR(VLOOKUP(DATE(($C$2+1),2,3),祝日!$A$2:$B$65,2,FALSE),""),"")</f>
        <v/>
      </c>
      <c r="X7" s="10">
        <f>IF(DAY(DATE(($C$2+1),3,3))=3,TEXT(DATE(($C$2+1),3,3),"aaa"),"")</f>
        <v/>
      </c>
      <c r="Y7" s="11">
        <f>IF(DAY(DATE(($C$2+1),3,3))=3,IFERROR(VLOOKUP(DATE(($C$2+1),3,3),祝日!$A$2:$B$65,2,FALSE),""),"")</f>
        <v/>
      </c>
    </row>
    <row r="8" ht="17" customHeight="1">
      <c r="A8" s="9" t="n">
        <v>4</v>
      </c>
      <c r="B8" s="10">
        <f>IF(DAY(DATE(($C$2+0),4,4))=4,TEXT(DATE(($C$2+0),4,4),"aaa"),"")</f>
        <v/>
      </c>
      <c r="C8" s="11">
        <f>IF(DAY(DATE(($C$2+0),4,4))=4,IFERROR(VLOOKUP(DATE(($C$2+0),4,4),祝日!$A$2:$B$65,2,FALSE),""),"")</f>
        <v/>
      </c>
      <c r="D8" s="10">
        <f>IF(DAY(DATE(($C$2+0),5,4))=4,TEXT(DATE(($C$2+0),5,4),"aaa"),"")</f>
        <v/>
      </c>
      <c r="E8" s="11">
        <f>IF(DAY(DATE(($C$2+0),5,4))=4,IFERROR(VLOOKUP(DATE(($C$2+0),5,4),祝日!$A$2:$B$65,2,FALSE),""),"")</f>
        <v/>
      </c>
      <c r="F8" s="10">
        <f>IF(DAY(DATE(($C$2+0),6,4))=4,TEXT(DATE(($C$2+0),6,4),"aaa"),"")</f>
        <v/>
      </c>
      <c r="G8" s="11">
        <f>IF(DAY(DATE(($C$2+0),6,4))=4,IFERROR(VLOOKUP(DATE(($C$2+0),6,4),祝日!$A$2:$B$65,2,FALSE),""),"")</f>
        <v/>
      </c>
      <c r="H8" s="10">
        <f>IF(DAY(DATE(($C$2+0),7,4))=4,TEXT(DATE(($C$2+0),7,4),"aaa"),"")</f>
        <v/>
      </c>
      <c r="I8" s="11">
        <f>IF(DAY(DATE(($C$2+0),7,4))=4,IFERROR(VLOOKUP(DATE(($C$2+0),7,4),祝日!$A$2:$B$65,2,FALSE),""),"")</f>
        <v/>
      </c>
      <c r="J8" s="10">
        <f>IF(DAY(DATE(($C$2+0),8,4))=4,TEXT(DATE(($C$2+0),8,4),"aaa"),"")</f>
        <v/>
      </c>
      <c r="K8" s="11">
        <f>IF(DAY(DATE(($C$2+0),8,4))=4,IFERROR(VLOOKUP(DATE(($C$2+0),8,4),祝日!$A$2:$B$65,2,FALSE),""),"")</f>
        <v/>
      </c>
      <c r="L8" s="10">
        <f>IF(DAY(DATE(($C$2+0),9,4))=4,TEXT(DATE(($C$2+0),9,4),"aaa"),"")</f>
        <v/>
      </c>
      <c r="M8" s="11">
        <f>IF(DAY(DATE(($C$2+0),9,4))=4,IFERROR(VLOOKUP(DATE(($C$2+0),9,4),祝日!$A$2:$B$65,2,FALSE),""),"")</f>
        <v/>
      </c>
      <c r="N8" s="10">
        <f>IF(DAY(DATE(($C$2+0),10,4))=4,TEXT(DATE(($C$2+0),10,4),"aaa"),"")</f>
        <v/>
      </c>
      <c r="O8" s="11">
        <f>IF(DAY(DATE(($C$2+0),10,4))=4,IFERROR(VLOOKUP(DATE(($C$2+0),10,4),祝日!$A$2:$B$65,2,FALSE),""),"")</f>
        <v/>
      </c>
      <c r="P8" s="10">
        <f>IF(DAY(DATE(($C$2+0),11,4))=4,TEXT(DATE(($C$2+0),11,4),"aaa"),"")</f>
        <v/>
      </c>
      <c r="Q8" s="11">
        <f>IF(DAY(DATE(($C$2+0),11,4))=4,IFERROR(VLOOKUP(DATE(($C$2+0),11,4),祝日!$A$2:$B$65,2,FALSE),""),"")</f>
        <v/>
      </c>
      <c r="R8" s="10">
        <f>IF(DAY(DATE(($C$2+0),12,4))=4,TEXT(DATE(($C$2+0),12,4),"aaa"),"")</f>
        <v/>
      </c>
      <c r="S8" s="11">
        <f>IF(DAY(DATE(($C$2+0),12,4))=4,IFERROR(VLOOKUP(DATE(($C$2+0),12,4),祝日!$A$2:$B$65,2,FALSE),""),"")</f>
        <v/>
      </c>
      <c r="T8" s="10">
        <f>IF(DAY(DATE(($C$2+1),1,4))=4,TEXT(DATE(($C$2+1),1,4),"aaa"),"")</f>
        <v/>
      </c>
      <c r="U8" s="11">
        <f>IF(DAY(DATE(($C$2+1),1,4))=4,IFERROR(VLOOKUP(DATE(($C$2+1),1,4),祝日!$A$2:$B$65,2,FALSE),""),"")</f>
        <v/>
      </c>
      <c r="V8" s="10">
        <f>IF(DAY(DATE(($C$2+1),2,4))=4,TEXT(DATE(($C$2+1),2,4),"aaa"),"")</f>
        <v/>
      </c>
      <c r="W8" s="11">
        <f>IF(DAY(DATE(($C$2+1),2,4))=4,IFERROR(VLOOKUP(DATE(($C$2+1),2,4),祝日!$A$2:$B$65,2,FALSE),""),"")</f>
        <v/>
      </c>
      <c r="X8" s="10">
        <f>IF(DAY(DATE(($C$2+1),3,4))=4,TEXT(DATE(($C$2+1),3,4),"aaa"),"")</f>
        <v/>
      </c>
      <c r="Y8" s="11">
        <f>IF(DAY(DATE(($C$2+1),3,4))=4,IFERROR(VLOOKUP(DATE(($C$2+1),3,4),祝日!$A$2:$B$65,2,FALSE),""),"")</f>
        <v/>
      </c>
    </row>
    <row r="9" ht="17" customHeight="1">
      <c r="A9" s="9" t="n">
        <v>5</v>
      </c>
      <c r="B9" s="10">
        <f>IF(DAY(DATE(($C$2+0),4,5))=5,TEXT(DATE(($C$2+0),4,5),"aaa"),"")</f>
        <v/>
      </c>
      <c r="C9" s="11">
        <f>IF(DAY(DATE(($C$2+0),4,5))=5,IFERROR(VLOOKUP(DATE(($C$2+0),4,5),祝日!$A$2:$B$65,2,FALSE),""),"")</f>
        <v/>
      </c>
      <c r="D9" s="10">
        <f>IF(DAY(DATE(($C$2+0),5,5))=5,TEXT(DATE(($C$2+0),5,5),"aaa"),"")</f>
        <v/>
      </c>
      <c r="E9" s="11">
        <f>IF(DAY(DATE(($C$2+0),5,5))=5,IFERROR(VLOOKUP(DATE(($C$2+0),5,5),祝日!$A$2:$B$65,2,FALSE),""),"")</f>
        <v/>
      </c>
      <c r="F9" s="10">
        <f>IF(DAY(DATE(($C$2+0),6,5))=5,TEXT(DATE(($C$2+0),6,5),"aaa"),"")</f>
        <v/>
      </c>
      <c r="G9" s="11">
        <f>IF(DAY(DATE(($C$2+0),6,5))=5,IFERROR(VLOOKUP(DATE(($C$2+0),6,5),祝日!$A$2:$B$65,2,FALSE),""),"")</f>
        <v/>
      </c>
      <c r="H9" s="10">
        <f>IF(DAY(DATE(($C$2+0),7,5))=5,TEXT(DATE(($C$2+0),7,5),"aaa"),"")</f>
        <v/>
      </c>
      <c r="I9" s="11">
        <f>IF(DAY(DATE(($C$2+0),7,5))=5,IFERROR(VLOOKUP(DATE(($C$2+0),7,5),祝日!$A$2:$B$65,2,FALSE),""),"")</f>
        <v/>
      </c>
      <c r="J9" s="10">
        <f>IF(DAY(DATE(($C$2+0),8,5))=5,TEXT(DATE(($C$2+0),8,5),"aaa"),"")</f>
        <v/>
      </c>
      <c r="K9" s="11">
        <f>IF(DAY(DATE(($C$2+0),8,5))=5,IFERROR(VLOOKUP(DATE(($C$2+0),8,5),祝日!$A$2:$B$65,2,FALSE),""),"")</f>
        <v/>
      </c>
      <c r="L9" s="10">
        <f>IF(DAY(DATE(($C$2+0),9,5))=5,TEXT(DATE(($C$2+0),9,5),"aaa"),"")</f>
        <v/>
      </c>
      <c r="M9" s="11">
        <f>IF(DAY(DATE(($C$2+0),9,5))=5,IFERROR(VLOOKUP(DATE(($C$2+0),9,5),祝日!$A$2:$B$65,2,FALSE),""),"")</f>
        <v/>
      </c>
      <c r="N9" s="10">
        <f>IF(DAY(DATE(($C$2+0),10,5))=5,TEXT(DATE(($C$2+0),10,5),"aaa"),"")</f>
        <v/>
      </c>
      <c r="O9" s="11">
        <f>IF(DAY(DATE(($C$2+0),10,5))=5,IFERROR(VLOOKUP(DATE(($C$2+0),10,5),祝日!$A$2:$B$65,2,FALSE),""),"")</f>
        <v/>
      </c>
      <c r="P9" s="10">
        <f>IF(DAY(DATE(($C$2+0),11,5))=5,TEXT(DATE(($C$2+0),11,5),"aaa"),"")</f>
        <v/>
      </c>
      <c r="Q9" s="11">
        <f>IF(DAY(DATE(($C$2+0),11,5))=5,IFERROR(VLOOKUP(DATE(($C$2+0),11,5),祝日!$A$2:$B$65,2,FALSE),""),"")</f>
        <v/>
      </c>
      <c r="R9" s="10">
        <f>IF(DAY(DATE(($C$2+0),12,5))=5,TEXT(DATE(($C$2+0),12,5),"aaa"),"")</f>
        <v/>
      </c>
      <c r="S9" s="11">
        <f>IF(DAY(DATE(($C$2+0),12,5))=5,IFERROR(VLOOKUP(DATE(($C$2+0),12,5),祝日!$A$2:$B$65,2,FALSE),""),"")</f>
        <v/>
      </c>
      <c r="T9" s="10">
        <f>IF(DAY(DATE(($C$2+1),1,5))=5,TEXT(DATE(($C$2+1),1,5),"aaa"),"")</f>
        <v/>
      </c>
      <c r="U9" s="11">
        <f>IF(DAY(DATE(($C$2+1),1,5))=5,IFERROR(VLOOKUP(DATE(($C$2+1),1,5),祝日!$A$2:$B$65,2,FALSE),""),"")</f>
        <v/>
      </c>
      <c r="V9" s="10">
        <f>IF(DAY(DATE(($C$2+1),2,5))=5,TEXT(DATE(($C$2+1),2,5),"aaa"),"")</f>
        <v/>
      </c>
      <c r="W9" s="12" t="inlineStr">
        <is>
          <t>参観日</t>
        </is>
      </c>
      <c r="X9" s="10">
        <f>IF(DAY(DATE(($C$2+1),3,5))=5,TEXT(DATE(($C$2+1),3,5),"aaa"),"")</f>
        <v/>
      </c>
      <c r="Y9" s="11">
        <f>IF(DAY(DATE(($C$2+1),3,5))=5,IFERROR(VLOOKUP(DATE(($C$2+1),3,5),祝日!$A$2:$B$65,2,FALSE),""),"")</f>
        <v/>
      </c>
    </row>
    <row r="10" ht="17" customHeight="1">
      <c r="A10" s="9" t="n">
        <v>6</v>
      </c>
      <c r="B10" s="10">
        <f>IF(DAY(DATE(($C$2+0),4,6))=6,TEXT(DATE(($C$2+0),4,6),"aaa"),"")</f>
        <v/>
      </c>
      <c r="C10" s="12" t="inlineStr">
        <is>
          <t>始業式</t>
        </is>
      </c>
      <c r="D10" s="10">
        <f>IF(DAY(DATE(($C$2+0),5,6))=6,TEXT(DATE(($C$2+0),5,6),"aaa"),"")</f>
        <v/>
      </c>
      <c r="E10" s="11">
        <f>IF(DAY(DATE(($C$2+0),5,6))=6,IFERROR(VLOOKUP(DATE(($C$2+0),5,6),祝日!$A$2:$B$65,2,FALSE),""),"")</f>
        <v/>
      </c>
      <c r="F10" s="10">
        <f>IF(DAY(DATE(($C$2+0),6,6))=6,TEXT(DATE(($C$2+0),6,6),"aaa"),"")</f>
        <v/>
      </c>
      <c r="G10" s="11">
        <f>IF(DAY(DATE(($C$2+0),6,6))=6,IFERROR(VLOOKUP(DATE(($C$2+0),6,6),祝日!$A$2:$B$65,2,FALSE),""),"")</f>
        <v/>
      </c>
      <c r="H10" s="10">
        <f>IF(DAY(DATE(($C$2+0),7,6))=6,TEXT(DATE(($C$2+0),7,6),"aaa"),"")</f>
        <v/>
      </c>
      <c r="I10" s="11">
        <f>IF(DAY(DATE(($C$2+0),7,6))=6,IFERROR(VLOOKUP(DATE(($C$2+0),7,6),祝日!$A$2:$B$65,2,FALSE),""),"")</f>
        <v/>
      </c>
      <c r="J10" s="10">
        <f>IF(DAY(DATE(($C$2+0),8,6))=6,TEXT(DATE(($C$2+0),8,6),"aaa"),"")</f>
        <v/>
      </c>
      <c r="K10" s="11">
        <f>IF(DAY(DATE(($C$2+0),8,6))=6,IFERROR(VLOOKUP(DATE(($C$2+0),8,6),祝日!$A$2:$B$65,2,FALSE),""),"")</f>
        <v/>
      </c>
      <c r="L10" s="10">
        <f>IF(DAY(DATE(($C$2+0),9,6))=6,TEXT(DATE(($C$2+0),9,6),"aaa"),"")</f>
        <v/>
      </c>
      <c r="M10" s="11">
        <f>IF(DAY(DATE(($C$2+0),9,6))=6,IFERROR(VLOOKUP(DATE(($C$2+0),9,6),祝日!$A$2:$B$65,2,FALSE),""),"")</f>
        <v/>
      </c>
      <c r="N10" s="10">
        <f>IF(DAY(DATE(($C$2+0),10,6))=6,TEXT(DATE(($C$2+0),10,6),"aaa"),"")</f>
        <v/>
      </c>
      <c r="O10" s="11">
        <f>IF(DAY(DATE(($C$2+0),10,6))=6,IFERROR(VLOOKUP(DATE(($C$2+0),10,6),祝日!$A$2:$B$65,2,FALSE),""),"")</f>
        <v/>
      </c>
      <c r="P10" s="10">
        <f>IF(DAY(DATE(($C$2+0),11,6))=6,TEXT(DATE(($C$2+0),11,6),"aaa"),"")</f>
        <v/>
      </c>
      <c r="Q10" s="12" t="inlineStr">
        <is>
          <t>学習発表会</t>
        </is>
      </c>
      <c r="R10" s="10">
        <f>IF(DAY(DATE(($C$2+0),12,6))=6,TEXT(DATE(($C$2+0),12,6),"aaa"),"")</f>
        <v/>
      </c>
      <c r="S10" s="11">
        <f>IF(DAY(DATE(($C$2+0),12,6))=6,IFERROR(VLOOKUP(DATE(($C$2+0),12,6),祝日!$A$2:$B$65,2,FALSE),""),"")</f>
        <v/>
      </c>
      <c r="T10" s="10">
        <f>IF(DAY(DATE(($C$2+1),1,6))=6,TEXT(DATE(($C$2+1),1,6),"aaa"),"")</f>
        <v/>
      </c>
      <c r="U10" s="11">
        <f>IF(DAY(DATE(($C$2+1),1,6))=6,IFERROR(VLOOKUP(DATE(($C$2+1),1,6),祝日!$A$2:$B$65,2,FALSE),""),"")</f>
        <v/>
      </c>
      <c r="V10" s="10">
        <f>IF(DAY(DATE(($C$2+1),2,6))=6,TEXT(DATE(($C$2+1),2,6),"aaa"),"")</f>
        <v/>
      </c>
      <c r="W10" s="11">
        <f>IF(DAY(DATE(($C$2+1),2,6))=6,IFERROR(VLOOKUP(DATE(($C$2+1),2,6),祝日!$A$2:$B$65,2,FALSE),""),"")</f>
        <v/>
      </c>
      <c r="X10" s="10">
        <f>IF(DAY(DATE(($C$2+1),3,6))=6,TEXT(DATE(($C$2+1),3,6),"aaa"),"")</f>
        <v/>
      </c>
      <c r="Y10" s="11">
        <f>IF(DAY(DATE(($C$2+1),3,6))=6,IFERROR(VLOOKUP(DATE(($C$2+1),3,6),祝日!$A$2:$B$65,2,FALSE),""),"")</f>
        <v/>
      </c>
    </row>
    <row r="11" ht="17" customHeight="1">
      <c r="A11" s="9" t="n">
        <v>7</v>
      </c>
      <c r="B11" s="10">
        <f>IF(DAY(DATE(($C$2+0),4,7))=7,TEXT(DATE(($C$2+0),4,7),"aaa"),"")</f>
        <v/>
      </c>
      <c r="C11" s="12" t="inlineStr">
        <is>
          <t>入学式</t>
        </is>
      </c>
      <c r="D11" s="10">
        <f>IF(DAY(DATE(($C$2+0),5,7))=7,TEXT(DATE(($C$2+0),5,7),"aaa"),"")</f>
        <v/>
      </c>
      <c r="E11" s="11">
        <f>IF(DAY(DATE(($C$2+0),5,7))=7,IFERROR(VLOOKUP(DATE(($C$2+0),5,7),祝日!$A$2:$B$65,2,FALSE),""),"")</f>
        <v/>
      </c>
      <c r="F11" s="10">
        <f>IF(DAY(DATE(($C$2+0),6,7))=7,TEXT(DATE(($C$2+0),6,7),"aaa"),"")</f>
        <v/>
      </c>
      <c r="G11" s="11">
        <f>IF(DAY(DATE(($C$2+0),6,7))=7,IFERROR(VLOOKUP(DATE(($C$2+0),6,7),祝日!$A$2:$B$65,2,FALSE),""),"")</f>
        <v/>
      </c>
      <c r="H11" s="10">
        <f>IF(DAY(DATE(($C$2+0),7,7))=7,TEXT(DATE(($C$2+0),7,7),"aaa"),"")</f>
        <v/>
      </c>
      <c r="I11" s="11">
        <f>IF(DAY(DATE(($C$2+0),7,7))=7,IFERROR(VLOOKUP(DATE(($C$2+0),7,7),祝日!$A$2:$B$65,2,FALSE),""),"")</f>
        <v/>
      </c>
      <c r="J11" s="10">
        <f>IF(DAY(DATE(($C$2+0),8,7))=7,TEXT(DATE(($C$2+0),8,7),"aaa"),"")</f>
        <v/>
      </c>
      <c r="K11" s="11">
        <f>IF(DAY(DATE(($C$2+0),8,7))=7,IFERROR(VLOOKUP(DATE(($C$2+0),8,7),祝日!$A$2:$B$65,2,FALSE),""),"")</f>
        <v/>
      </c>
      <c r="L11" s="10">
        <f>IF(DAY(DATE(($C$2+0),9,7))=7,TEXT(DATE(($C$2+0),9,7),"aaa"),"")</f>
        <v/>
      </c>
      <c r="M11" s="11">
        <f>IF(DAY(DATE(($C$2+0),9,7))=7,IFERROR(VLOOKUP(DATE(($C$2+0),9,7),祝日!$A$2:$B$65,2,FALSE),""),"")</f>
        <v/>
      </c>
      <c r="N11" s="10">
        <f>IF(DAY(DATE(($C$2+0),10,7))=7,TEXT(DATE(($C$2+0),10,7),"aaa"),"")</f>
        <v/>
      </c>
      <c r="O11" s="11">
        <f>IF(DAY(DATE(($C$2+0),10,7))=7,IFERROR(VLOOKUP(DATE(($C$2+0),10,7),祝日!$A$2:$B$65,2,FALSE),""),"")</f>
        <v/>
      </c>
      <c r="P11" s="10">
        <f>IF(DAY(DATE(($C$2+0),11,7))=7,TEXT(DATE(($C$2+0),11,7),"aaa"),"")</f>
        <v/>
      </c>
      <c r="Q11" s="11">
        <f>IF(DAY(DATE(($C$2+0),11,7))=7,IFERROR(VLOOKUP(DATE(($C$2+0),11,7),祝日!$A$2:$B$65,2,FALSE),""),"")</f>
        <v/>
      </c>
      <c r="R11" s="10">
        <f>IF(DAY(DATE(($C$2+0),12,7))=7,TEXT(DATE(($C$2+0),12,7),"aaa"),"")</f>
        <v/>
      </c>
      <c r="S11" s="11">
        <f>IF(DAY(DATE(($C$2+0),12,7))=7,IFERROR(VLOOKUP(DATE(($C$2+0),12,7),祝日!$A$2:$B$65,2,FALSE),""),"")</f>
        <v/>
      </c>
      <c r="T11" s="10">
        <f>IF(DAY(DATE(($C$2+1),1,7))=7,TEXT(DATE(($C$2+1),1,7),"aaa"),"")</f>
        <v/>
      </c>
      <c r="U11" s="12" t="inlineStr">
        <is>
          <t>始業式</t>
        </is>
      </c>
      <c r="V11" s="10">
        <f>IF(DAY(DATE(($C$2+1),2,7))=7,TEXT(DATE(($C$2+1),2,7),"aaa"),"")</f>
        <v/>
      </c>
      <c r="W11" s="11">
        <f>IF(DAY(DATE(($C$2+1),2,7))=7,IFERROR(VLOOKUP(DATE(($C$2+1),2,7),祝日!$A$2:$B$65,2,FALSE),""),"")</f>
        <v/>
      </c>
      <c r="X11" s="10">
        <f>IF(DAY(DATE(($C$2+1),3,7))=7,TEXT(DATE(($C$2+1),3,7),"aaa"),"")</f>
        <v/>
      </c>
      <c r="Y11" s="11">
        <f>IF(DAY(DATE(($C$2+1),3,7))=7,IFERROR(VLOOKUP(DATE(($C$2+1),3,7),祝日!$A$2:$B$65,2,FALSE),""),"")</f>
        <v/>
      </c>
    </row>
    <row r="12" ht="17" customHeight="1">
      <c r="A12" s="9" t="n">
        <v>8</v>
      </c>
      <c r="B12" s="10">
        <f>IF(DAY(DATE(($C$2+0),4,8))=8,TEXT(DATE(($C$2+0),4,8),"aaa"),"")</f>
        <v/>
      </c>
      <c r="C12" s="11">
        <f>IF(DAY(DATE(($C$2+0),4,8))=8,IFERROR(VLOOKUP(DATE(($C$2+0),4,8),祝日!$A$2:$B$65,2,FALSE),""),"")</f>
        <v/>
      </c>
      <c r="D12" s="10">
        <f>IF(DAY(DATE(($C$2+0),5,8))=8,TEXT(DATE(($C$2+0),5,8),"aaa"),"")</f>
        <v/>
      </c>
      <c r="E12" s="11">
        <f>IF(DAY(DATE(($C$2+0),5,8))=8,IFERROR(VLOOKUP(DATE(($C$2+0),5,8),祝日!$A$2:$B$65,2,FALSE),""),"")</f>
        <v/>
      </c>
      <c r="F12" s="10">
        <f>IF(DAY(DATE(($C$2+0),6,8))=8,TEXT(DATE(($C$2+0),6,8),"aaa"),"")</f>
        <v/>
      </c>
      <c r="G12" s="11">
        <f>IF(DAY(DATE(($C$2+0),6,8))=8,IFERROR(VLOOKUP(DATE(($C$2+0),6,8),祝日!$A$2:$B$65,2,FALSE),""),"")</f>
        <v/>
      </c>
      <c r="H12" s="10">
        <f>IF(DAY(DATE(($C$2+0),7,8))=8,TEXT(DATE(($C$2+0),7,8),"aaa"),"")</f>
        <v/>
      </c>
      <c r="I12" s="11">
        <f>IF(DAY(DATE(($C$2+0),7,8))=8,IFERROR(VLOOKUP(DATE(($C$2+0),7,8),祝日!$A$2:$B$65,2,FALSE),""),"")</f>
        <v/>
      </c>
      <c r="J12" s="10">
        <f>IF(DAY(DATE(($C$2+0),8,8))=8,TEXT(DATE(($C$2+0),8,8),"aaa"),"")</f>
        <v/>
      </c>
      <c r="K12" s="11">
        <f>IF(DAY(DATE(($C$2+0),8,8))=8,IFERROR(VLOOKUP(DATE(($C$2+0),8,8),祝日!$A$2:$B$65,2,FALSE),""),"")</f>
        <v/>
      </c>
      <c r="L12" s="10">
        <f>IF(DAY(DATE(($C$2+0),9,8))=8,TEXT(DATE(($C$2+0),9,8),"aaa"),"")</f>
        <v/>
      </c>
      <c r="M12" s="11">
        <f>IF(DAY(DATE(($C$2+0),9,8))=8,IFERROR(VLOOKUP(DATE(($C$2+0),9,8),祝日!$A$2:$B$65,2,FALSE),""),"")</f>
        <v/>
      </c>
      <c r="N12" s="10">
        <f>IF(DAY(DATE(($C$2+0),10,8))=8,TEXT(DATE(($C$2+0),10,8),"aaa"),"")</f>
        <v/>
      </c>
      <c r="O12" s="11">
        <f>IF(DAY(DATE(($C$2+0),10,8))=8,IFERROR(VLOOKUP(DATE(($C$2+0),10,8),祝日!$A$2:$B$65,2,FALSE),""),"")</f>
        <v/>
      </c>
      <c r="P12" s="10">
        <f>IF(DAY(DATE(($C$2+0),11,8))=8,TEXT(DATE(($C$2+0),11,8),"aaa"),"")</f>
        <v/>
      </c>
      <c r="Q12" s="11">
        <f>IF(DAY(DATE(($C$2+0),11,8))=8,IFERROR(VLOOKUP(DATE(($C$2+0),11,8),祝日!$A$2:$B$65,2,FALSE),""),"")</f>
        <v/>
      </c>
      <c r="R12" s="10">
        <f>IF(DAY(DATE(($C$2+0),12,8))=8,TEXT(DATE(($C$2+0),12,8),"aaa"),"")</f>
        <v/>
      </c>
      <c r="S12" s="11">
        <f>IF(DAY(DATE(($C$2+0),12,8))=8,IFERROR(VLOOKUP(DATE(($C$2+0),12,8),祝日!$A$2:$B$65,2,FALSE),""),"")</f>
        <v/>
      </c>
      <c r="T12" s="10">
        <f>IF(DAY(DATE(($C$2+1),1,8))=8,TEXT(DATE(($C$2+1),1,8),"aaa"),"")</f>
        <v/>
      </c>
      <c r="U12" s="11">
        <f>IF(DAY(DATE(($C$2+1),1,8))=8,IFERROR(VLOOKUP(DATE(($C$2+1),1,8),祝日!$A$2:$B$65,2,FALSE),""),"")</f>
        <v/>
      </c>
      <c r="V12" s="10">
        <f>IF(DAY(DATE(($C$2+1),2,8))=8,TEXT(DATE(($C$2+1),2,8),"aaa"),"")</f>
        <v/>
      </c>
      <c r="W12" s="11">
        <f>IF(DAY(DATE(($C$2+1),2,8))=8,IFERROR(VLOOKUP(DATE(($C$2+1),2,8),祝日!$A$2:$B$65,2,FALSE),""),"")</f>
        <v/>
      </c>
      <c r="X12" s="10">
        <f>IF(DAY(DATE(($C$2+1),3,8))=8,TEXT(DATE(($C$2+1),3,8),"aaa"),"")</f>
        <v/>
      </c>
      <c r="Y12" s="11">
        <f>IF(DAY(DATE(($C$2+1),3,8))=8,IFERROR(VLOOKUP(DATE(($C$2+1),3,8),祝日!$A$2:$B$65,2,FALSE),""),"")</f>
        <v/>
      </c>
    </row>
    <row r="13" ht="17" customHeight="1">
      <c r="A13" s="9" t="n">
        <v>9</v>
      </c>
      <c r="B13" s="10">
        <f>IF(DAY(DATE(($C$2+0),4,9))=9,TEXT(DATE(($C$2+0),4,9),"aaa"),"")</f>
        <v/>
      </c>
      <c r="C13" s="11">
        <f>IF(DAY(DATE(($C$2+0),4,9))=9,IFERROR(VLOOKUP(DATE(($C$2+0),4,9),祝日!$A$2:$B$65,2,FALSE),""),"")</f>
        <v/>
      </c>
      <c r="D13" s="10">
        <f>IF(DAY(DATE(($C$2+0),5,9))=9,TEXT(DATE(($C$2+0),5,9),"aaa"),"")</f>
        <v/>
      </c>
      <c r="E13" s="11">
        <f>IF(DAY(DATE(($C$2+0),5,9))=9,IFERROR(VLOOKUP(DATE(($C$2+0),5,9),祝日!$A$2:$B$65,2,FALSE),""),"")</f>
        <v/>
      </c>
      <c r="F13" s="10">
        <f>IF(DAY(DATE(($C$2+0),6,9))=9,TEXT(DATE(($C$2+0),6,9),"aaa"),"")</f>
        <v/>
      </c>
      <c r="G13" s="11">
        <f>IF(DAY(DATE(($C$2+0),6,9))=9,IFERROR(VLOOKUP(DATE(($C$2+0),6,9),祝日!$A$2:$B$65,2,FALSE),""),"")</f>
        <v/>
      </c>
      <c r="H13" s="10">
        <f>IF(DAY(DATE(($C$2+0),7,9))=9,TEXT(DATE(($C$2+0),7,9),"aaa"),"")</f>
        <v/>
      </c>
      <c r="I13" s="11">
        <f>IF(DAY(DATE(($C$2+0),7,9))=9,IFERROR(VLOOKUP(DATE(($C$2+0),7,9),祝日!$A$2:$B$65,2,FALSE),""),"")</f>
        <v/>
      </c>
      <c r="J13" s="10">
        <f>IF(DAY(DATE(($C$2+0),8,9))=9,TEXT(DATE(($C$2+0),8,9),"aaa"),"")</f>
        <v/>
      </c>
      <c r="K13" s="11">
        <f>IF(DAY(DATE(($C$2+0),8,9))=9,IFERROR(VLOOKUP(DATE(($C$2+0),8,9),祝日!$A$2:$B$65,2,FALSE),""),"")</f>
        <v/>
      </c>
      <c r="L13" s="10">
        <f>IF(DAY(DATE(($C$2+0),9,9))=9,TEXT(DATE(($C$2+0),9,9),"aaa"),"")</f>
        <v/>
      </c>
      <c r="M13" s="11">
        <f>IF(DAY(DATE(($C$2+0),9,9))=9,IFERROR(VLOOKUP(DATE(($C$2+0),9,9),祝日!$A$2:$B$65,2,FALSE),""),"")</f>
        <v/>
      </c>
      <c r="N13" s="10">
        <f>IF(DAY(DATE(($C$2+0),10,9))=9,TEXT(DATE(($C$2+0),10,9),"aaa"),"")</f>
        <v/>
      </c>
      <c r="O13" s="11">
        <f>IF(DAY(DATE(($C$2+0),10,9))=9,IFERROR(VLOOKUP(DATE(($C$2+0),10,9),祝日!$A$2:$B$65,2,FALSE),""),"")</f>
        <v/>
      </c>
      <c r="P13" s="10">
        <f>IF(DAY(DATE(($C$2+0),11,9))=9,TEXT(DATE(($C$2+0),11,9),"aaa"),"")</f>
        <v/>
      </c>
      <c r="Q13" s="11">
        <f>IF(DAY(DATE(($C$2+0),11,9))=9,IFERROR(VLOOKUP(DATE(($C$2+0),11,9),祝日!$A$2:$B$65,2,FALSE),""),"")</f>
        <v/>
      </c>
      <c r="R13" s="10">
        <f>IF(DAY(DATE(($C$2+0),12,9))=9,TEXT(DATE(($C$2+0),12,9),"aaa"),"")</f>
        <v/>
      </c>
      <c r="S13" s="11">
        <f>IF(DAY(DATE(($C$2+0),12,9))=9,IFERROR(VLOOKUP(DATE(($C$2+0),12,9),祝日!$A$2:$B$65,2,FALSE),""),"")</f>
        <v/>
      </c>
      <c r="T13" s="10">
        <f>IF(DAY(DATE(($C$2+1),1,9))=9,TEXT(DATE(($C$2+1),1,9),"aaa"),"")</f>
        <v/>
      </c>
      <c r="U13" s="11">
        <f>IF(DAY(DATE(($C$2+1),1,9))=9,IFERROR(VLOOKUP(DATE(($C$2+1),1,9),祝日!$A$2:$B$65,2,FALSE),""),"")</f>
        <v/>
      </c>
      <c r="V13" s="10">
        <f>IF(DAY(DATE(($C$2+1),2,9))=9,TEXT(DATE(($C$2+1),2,9),"aaa"),"")</f>
        <v/>
      </c>
      <c r="W13" s="11">
        <f>IF(DAY(DATE(($C$2+1),2,9))=9,IFERROR(VLOOKUP(DATE(($C$2+1),2,9),祝日!$A$2:$B$65,2,FALSE),""),"")</f>
        <v/>
      </c>
      <c r="X13" s="10">
        <f>IF(DAY(DATE(($C$2+1),3,9))=9,TEXT(DATE(($C$2+1),3,9),"aaa"),"")</f>
        <v/>
      </c>
      <c r="Y13" s="11">
        <f>IF(DAY(DATE(($C$2+1),3,9))=9,IFERROR(VLOOKUP(DATE(($C$2+1),3,9),祝日!$A$2:$B$65,2,FALSE),""),"")</f>
        <v/>
      </c>
    </row>
    <row r="14" ht="17" customHeight="1">
      <c r="A14" s="9" t="n">
        <v>10</v>
      </c>
      <c r="B14" s="10">
        <f>IF(DAY(DATE(($C$2+0),4,10))=10,TEXT(DATE(($C$2+0),4,10),"aaa"),"")</f>
        <v/>
      </c>
      <c r="C14" s="11">
        <f>IF(DAY(DATE(($C$2+0),4,10))=10,IFERROR(VLOOKUP(DATE(($C$2+0),4,10),祝日!$A$2:$B$65,2,FALSE),""),"")</f>
        <v/>
      </c>
      <c r="D14" s="10">
        <f>IF(DAY(DATE(($C$2+0),5,10))=10,TEXT(DATE(($C$2+0),5,10),"aaa"),"")</f>
        <v/>
      </c>
      <c r="E14" s="11">
        <f>IF(DAY(DATE(($C$2+0),5,10))=10,IFERROR(VLOOKUP(DATE(($C$2+0),5,10),祝日!$A$2:$B$65,2,FALSE),""),"")</f>
        <v/>
      </c>
      <c r="F14" s="10">
        <f>IF(DAY(DATE(($C$2+0),6,10))=10,TEXT(DATE(($C$2+0),6,10),"aaa"),"")</f>
        <v/>
      </c>
      <c r="G14" s="12" t="inlineStr">
        <is>
          <t>プール開き</t>
        </is>
      </c>
      <c r="H14" s="10">
        <f>IF(DAY(DATE(($C$2+0),7,10))=10,TEXT(DATE(($C$2+0),7,10),"aaa"),"")</f>
        <v/>
      </c>
      <c r="I14" s="11">
        <f>IF(DAY(DATE(($C$2+0),7,10))=10,IFERROR(VLOOKUP(DATE(($C$2+0),7,10),祝日!$A$2:$B$65,2,FALSE),""),"")</f>
        <v/>
      </c>
      <c r="J14" s="10">
        <f>IF(DAY(DATE(($C$2+0),8,10))=10,TEXT(DATE(($C$2+0),8,10),"aaa"),"")</f>
        <v/>
      </c>
      <c r="K14" s="11">
        <f>IF(DAY(DATE(($C$2+0),8,10))=10,IFERROR(VLOOKUP(DATE(($C$2+0),8,10),祝日!$A$2:$B$65,2,FALSE),""),"")</f>
        <v/>
      </c>
      <c r="L14" s="10">
        <f>IF(DAY(DATE(($C$2+0),9,10))=10,TEXT(DATE(($C$2+0),9,10),"aaa"),"")</f>
        <v/>
      </c>
      <c r="M14" s="11">
        <f>IF(DAY(DATE(($C$2+0),9,10))=10,IFERROR(VLOOKUP(DATE(($C$2+0),9,10),祝日!$A$2:$B$65,2,FALSE),""),"")</f>
        <v/>
      </c>
      <c r="N14" s="10">
        <f>IF(DAY(DATE(($C$2+0),10,10))=10,TEXT(DATE(($C$2+0),10,10),"aaa"),"")</f>
        <v/>
      </c>
      <c r="O14" s="11">
        <f>IF(DAY(DATE(($C$2+0),10,10))=10,IFERROR(VLOOKUP(DATE(($C$2+0),10,10),祝日!$A$2:$B$65,2,FALSE),""),"")</f>
        <v/>
      </c>
      <c r="P14" s="10">
        <f>IF(DAY(DATE(($C$2+0),11,10))=10,TEXT(DATE(($C$2+0),11,10),"aaa"),"")</f>
        <v/>
      </c>
      <c r="Q14" s="11">
        <f>IF(DAY(DATE(($C$2+0),11,10))=10,IFERROR(VLOOKUP(DATE(($C$2+0),11,10),祝日!$A$2:$B$65,2,FALSE),""),"")</f>
        <v/>
      </c>
      <c r="R14" s="10">
        <f>IF(DAY(DATE(($C$2+0),12,10))=10,TEXT(DATE(($C$2+0),12,10),"aaa"),"")</f>
        <v/>
      </c>
      <c r="S14" s="11">
        <f>IF(DAY(DATE(($C$2+0),12,10))=10,IFERROR(VLOOKUP(DATE(($C$2+0),12,10),祝日!$A$2:$B$65,2,FALSE),""),"")</f>
        <v/>
      </c>
      <c r="T14" s="10">
        <f>IF(DAY(DATE(($C$2+1),1,10))=10,TEXT(DATE(($C$2+1),1,10),"aaa"),"")</f>
        <v/>
      </c>
      <c r="U14" s="11">
        <f>IF(DAY(DATE(($C$2+1),1,10))=10,IFERROR(VLOOKUP(DATE(($C$2+1),1,10),祝日!$A$2:$B$65,2,FALSE),""),"")</f>
        <v/>
      </c>
      <c r="V14" s="10">
        <f>IF(DAY(DATE(($C$2+1),2,10))=10,TEXT(DATE(($C$2+1),2,10),"aaa"),"")</f>
        <v/>
      </c>
      <c r="W14" s="11">
        <f>IF(DAY(DATE(($C$2+1),2,10))=10,IFERROR(VLOOKUP(DATE(($C$2+1),2,10),祝日!$A$2:$B$65,2,FALSE),""),"")</f>
        <v/>
      </c>
      <c r="X14" s="10">
        <f>IF(DAY(DATE(($C$2+1),3,10))=10,TEXT(DATE(($C$2+1),3,10),"aaa"),"")</f>
        <v/>
      </c>
      <c r="Y14" s="11">
        <f>IF(DAY(DATE(($C$2+1),3,10))=10,IFERROR(VLOOKUP(DATE(($C$2+1),3,10),祝日!$A$2:$B$65,2,FALSE),""),"")</f>
        <v/>
      </c>
    </row>
    <row r="15" ht="17" customHeight="1">
      <c r="A15" s="9" t="n">
        <v>11</v>
      </c>
      <c r="B15" s="10">
        <f>IF(DAY(DATE(($C$2+0),4,11))=11,TEXT(DATE(($C$2+0),4,11),"aaa"),"")</f>
        <v/>
      </c>
      <c r="C15" s="11">
        <f>IF(DAY(DATE(($C$2+0),4,11))=11,IFERROR(VLOOKUP(DATE(($C$2+0),4,11),祝日!$A$2:$B$65,2,FALSE),""),"")</f>
        <v/>
      </c>
      <c r="D15" s="10">
        <f>IF(DAY(DATE(($C$2+0),5,11))=11,TEXT(DATE(($C$2+0),5,11),"aaa"),"")</f>
        <v/>
      </c>
      <c r="E15" s="11">
        <f>IF(DAY(DATE(($C$2+0),5,11))=11,IFERROR(VLOOKUP(DATE(($C$2+0),5,11),祝日!$A$2:$B$65,2,FALSE),""),"")</f>
        <v/>
      </c>
      <c r="F15" s="10">
        <f>IF(DAY(DATE(($C$2+0),6,11))=11,TEXT(DATE(($C$2+0),6,11),"aaa"),"")</f>
        <v/>
      </c>
      <c r="G15" s="11">
        <f>IF(DAY(DATE(($C$2+0),6,11))=11,IFERROR(VLOOKUP(DATE(($C$2+0),6,11),祝日!$A$2:$B$65,2,FALSE),""),"")</f>
        <v/>
      </c>
      <c r="H15" s="10">
        <f>IF(DAY(DATE(($C$2+0),7,11))=11,TEXT(DATE(($C$2+0),7,11),"aaa"),"")</f>
        <v/>
      </c>
      <c r="I15" s="11">
        <f>IF(DAY(DATE(($C$2+0),7,11))=11,IFERROR(VLOOKUP(DATE(($C$2+0),7,11),祝日!$A$2:$B$65,2,FALSE),""),"")</f>
        <v/>
      </c>
      <c r="J15" s="10">
        <f>IF(DAY(DATE(($C$2+0),8,11))=11,TEXT(DATE(($C$2+0),8,11),"aaa"),"")</f>
        <v/>
      </c>
      <c r="K15" s="11">
        <f>IF(DAY(DATE(($C$2+0),8,11))=11,IFERROR(VLOOKUP(DATE(($C$2+0),8,11),祝日!$A$2:$B$65,2,FALSE),""),"")</f>
        <v/>
      </c>
      <c r="L15" s="10">
        <f>IF(DAY(DATE(($C$2+0),9,11))=11,TEXT(DATE(($C$2+0),9,11),"aaa"),"")</f>
        <v/>
      </c>
      <c r="M15" s="12" t="inlineStr">
        <is>
          <t>避難訓練</t>
        </is>
      </c>
      <c r="N15" s="10">
        <f>IF(DAY(DATE(($C$2+0),10,11))=11,TEXT(DATE(($C$2+0),10,11),"aaa"),"")</f>
        <v/>
      </c>
      <c r="O15" s="11">
        <f>IF(DAY(DATE(($C$2+0),10,11))=11,IFERROR(VLOOKUP(DATE(($C$2+0),10,11),祝日!$A$2:$B$65,2,FALSE),""),"")</f>
        <v/>
      </c>
      <c r="P15" s="10">
        <f>IF(DAY(DATE(($C$2+0),11,11))=11,TEXT(DATE(($C$2+0),11,11),"aaa"),"")</f>
        <v/>
      </c>
      <c r="Q15" s="11">
        <f>IF(DAY(DATE(($C$2+0),11,11))=11,IFERROR(VLOOKUP(DATE(($C$2+0),11,11),祝日!$A$2:$B$65,2,FALSE),""),"")</f>
        <v/>
      </c>
      <c r="R15" s="10">
        <f>IF(DAY(DATE(($C$2+0),12,11))=11,TEXT(DATE(($C$2+0),12,11),"aaa"),"")</f>
        <v/>
      </c>
      <c r="S15" s="11">
        <f>IF(DAY(DATE(($C$2+0),12,11))=11,IFERROR(VLOOKUP(DATE(($C$2+0),12,11),祝日!$A$2:$B$65,2,FALSE),""),"")</f>
        <v/>
      </c>
      <c r="T15" s="10">
        <f>IF(DAY(DATE(($C$2+1),1,11))=11,TEXT(DATE(($C$2+1),1,11),"aaa"),"")</f>
        <v/>
      </c>
      <c r="U15" s="11">
        <f>IF(DAY(DATE(($C$2+1),1,11))=11,IFERROR(VLOOKUP(DATE(($C$2+1),1,11),祝日!$A$2:$B$65,2,FALSE),""),"")</f>
        <v/>
      </c>
      <c r="V15" s="10">
        <f>IF(DAY(DATE(($C$2+1),2,11))=11,TEXT(DATE(($C$2+1),2,11),"aaa"),"")</f>
        <v/>
      </c>
      <c r="W15" s="11">
        <f>IF(DAY(DATE(($C$2+1),2,11))=11,IFERROR(VLOOKUP(DATE(($C$2+1),2,11),祝日!$A$2:$B$65,2,FALSE),""),"")</f>
        <v/>
      </c>
      <c r="X15" s="10">
        <f>IF(DAY(DATE(($C$2+1),3,11))=11,TEXT(DATE(($C$2+1),3,11),"aaa"),"")</f>
        <v/>
      </c>
      <c r="Y15" s="11">
        <f>IF(DAY(DATE(($C$2+1),3,11))=11,IFERROR(VLOOKUP(DATE(($C$2+1),3,11),祝日!$A$2:$B$65,2,FALSE),""),"")</f>
        <v/>
      </c>
    </row>
    <row r="16" ht="17" customHeight="1">
      <c r="A16" s="9" t="n">
        <v>12</v>
      </c>
      <c r="B16" s="10">
        <f>IF(DAY(DATE(($C$2+0),4,12))=12,TEXT(DATE(($C$2+0),4,12),"aaa"),"")</f>
        <v/>
      </c>
      <c r="C16" s="11">
        <f>IF(DAY(DATE(($C$2+0),4,12))=12,IFERROR(VLOOKUP(DATE(($C$2+0),4,12),祝日!$A$2:$B$65,2,FALSE),""),"")</f>
        <v/>
      </c>
      <c r="D16" s="10">
        <f>IF(DAY(DATE(($C$2+0),5,12))=12,TEXT(DATE(($C$2+0),5,12),"aaa"),"")</f>
        <v/>
      </c>
      <c r="E16" s="11">
        <f>IF(DAY(DATE(($C$2+0),5,12))=12,IFERROR(VLOOKUP(DATE(($C$2+0),5,12),祝日!$A$2:$B$65,2,FALSE),""),"")</f>
        <v/>
      </c>
      <c r="F16" s="10">
        <f>IF(DAY(DATE(($C$2+0),6,12))=12,TEXT(DATE(($C$2+0),6,12),"aaa"),"")</f>
        <v/>
      </c>
      <c r="G16" s="11">
        <f>IF(DAY(DATE(($C$2+0),6,12))=12,IFERROR(VLOOKUP(DATE(($C$2+0),6,12),祝日!$A$2:$B$65,2,FALSE),""),"")</f>
        <v/>
      </c>
      <c r="H16" s="10">
        <f>IF(DAY(DATE(($C$2+0),7,12))=12,TEXT(DATE(($C$2+0),7,12),"aaa"),"")</f>
        <v/>
      </c>
      <c r="I16" s="11">
        <f>IF(DAY(DATE(($C$2+0),7,12))=12,IFERROR(VLOOKUP(DATE(($C$2+0),7,12),祝日!$A$2:$B$65,2,FALSE),""),"")</f>
        <v/>
      </c>
      <c r="J16" s="10">
        <f>IF(DAY(DATE(($C$2+0),8,12))=12,TEXT(DATE(($C$2+0),8,12),"aaa"),"")</f>
        <v/>
      </c>
      <c r="K16" s="11">
        <f>IF(DAY(DATE(($C$2+0),8,12))=12,IFERROR(VLOOKUP(DATE(($C$2+0),8,12),祝日!$A$2:$B$65,2,FALSE),""),"")</f>
        <v/>
      </c>
      <c r="L16" s="10">
        <f>IF(DAY(DATE(($C$2+0),9,12))=12,TEXT(DATE(($C$2+0),9,12),"aaa"),"")</f>
        <v/>
      </c>
      <c r="M16" s="11">
        <f>IF(DAY(DATE(($C$2+0),9,12))=12,IFERROR(VLOOKUP(DATE(($C$2+0),9,12),祝日!$A$2:$B$65,2,FALSE),""),"")</f>
        <v/>
      </c>
      <c r="N16" s="10">
        <f>IF(DAY(DATE(($C$2+0),10,12))=12,TEXT(DATE(($C$2+0),10,12),"aaa"),"")</f>
        <v/>
      </c>
      <c r="O16" s="11">
        <f>IF(DAY(DATE(($C$2+0),10,12))=12,IFERROR(VLOOKUP(DATE(($C$2+0),10,12),祝日!$A$2:$B$65,2,FALSE),""),"")</f>
        <v/>
      </c>
      <c r="P16" s="10">
        <f>IF(DAY(DATE(($C$2+0),11,12))=12,TEXT(DATE(($C$2+0),11,12),"aaa"),"")</f>
        <v/>
      </c>
      <c r="Q16" s="11">
        <f>IF(DAY(DATE(($C$2+0),11,12))=12,IFERROR(VLOOKUP(DATE(($C$2+0),11,12),祝日!$A$2:$B$65,2,FALSE),""),"")</f>
        <v/>
      </c>
      <c r="R16" s="10">
        <f>IF(DAY(DATE(($C$2+0),12,12))=12,TEXT(DATE(($C$2+0),12,12),"aaa"),"")</f>
        <v/>
      </c>
      <c r="S16" s="11">
        <f>IF(DAY(DATE(($C$2+0),12,12))=12,IFERROR(VLOOKUP(DATE(($C$2+0),12,12),祝日!$A$2:$B$65,2,FALSE),""),"")</f>
        <v/>
      </c>
      <c r="T16" s="10">
        <f>IF(DAY(DATE(($C$2+1),1,12))=12,TEXT(DATE(($C$2+1),1,12),"aaa"),"")</f>
        <v/>
      </c>
      <c r="U16" s="11">
        <f>IF(DAY(DATE(($C$2+1),1,12))=12,IFERROR(VLOOKUP(DATE(($C$2+1),1,12),祝日!$A$2:$B$65,2,FALSE),""),"")</f>
        <v/>
      </c>
      <c r="V16" s="10">
        <f>IF(DAY(DATE(($C$2+1),2,12))=12,TEXT(DATE(($C$2+1),2,12),"aaa"),"")</f>
        <v/>
      </c>
      <c r="W16" s="11">
        <f>IF(DAY(DATE(($C$2+1),2,12))=12,IFERROR(VLOOKUP(DATE(($C$2+1),2,12),祝日!$A$2:$B$65,2,FALSE),""),"")</f>
        <v/>
      </c>
      <c r="X16" s="10">
        <f>IF(DAY(DATE(($C$2+1),3,12))=12,TEXT(DATE(($C$2+1),3,12),"aaa"),"")</f>
        <v/>
      </c>
      <c r="Y16" s="11">
        <f>IF(DAY(DATE(($C$2+1),3,12))=12,IFERROR(VLOOKUP(DATE(($C$2+1),3,12),祝日!$A$2:$B$65,2,FALSE),""),"")</f>
        <v/>
      </c>
    </row>
    <row r="17" ht="17" customHeight="1">
      <c r="A17" s="9" t="n">
        <v>13</v>
      </c>
      <c r="B17" s="10">
        <f>IF(DAY(DATE(($C$2+0),4,13))=13,TEXT(DATE(($C$2+0),4,13),"aaa"),"")</f>
        <v/>
      </c>
      <c r="C17" s="11">
        <f>IF(DAY(DATE(($C$2+0),4,13))=13,IFERROR(VLOOKUP(DATE(($C$2+0),4,13),祝日!$A$2:$B$65,2,FALSE),""),"")</f>
        <v/>
      </c>
      <c r="D17" s="10">
        <f>IF(DAY(DATE(($C$2+0),5,13))=13,TEXT(DATE(($C$2+0),5,13),"aaa"),"")</f>
        <v/>
      </c>
      <c r="E17" s="11">
        <f>IF(DAY(DATE(($C$2+0),5,13))=13,IFERROR(VLOOKUP(DATE(($C$2+0),5,13),祝日!$A$2:$B$65,2,FALSE),""),"")</f>
        <v/>
      </c>
      <c r="F17" s="10">
        <f>IF(DAY(DATE(($C$2+0),6,13))=13,TEXT(DATE(($C$2+0),6,13),"aaa"),"")</f>
        <v/>
      </c>
      <c r="G17" s="11">
        <f>IF(DAY(DATE(($C$2+0),6,13))=13,IFERROR(VLOOKUP(DATE(($C$2+0),6,13),祝日!$A$2:$B$65,2,FALSE),""),"")</f>
        <v/>
      </c>
      <c r="H17" s="10">
        <f>IF(DAY(DATE(($C$2+0),7,13))=13,TEXT(DATE(($C$2+0),7,13),"aaa"),"")</f>
        <v/>
      </c>
      <c r="I17" s="11">
        <f>IF(DAY(DATE(($C$2+0),7,13))=13,IFERROR(VLOOKUP(DATE(($C$2+0),7,13),祝日!$A$2:$B$65,2,FALSE),""),"")</f>
        <v/>
      </c>
      <c r="J17" s="10">
        <f>IF(DAY(DATE(($C$2+0),8,13))=13,TEXT(DATE(($C$2+0),8,13),"aaa"),"")</f>
        <v/>
      </c>
      <c r="K17" s="11">
        <f>IF(DAY(DATE(($C$2+0),8,13))=13,IFERROR(VLOOKUP(DATE(($C$2+0),8,13),祝日!$A$2:$B$65,2,FALSE),""),"")</f>
        <v/>
      </c>
      <c r="L17" s="10">
        <f>IF(DAY(DATE(($C$2+0),9,13))=13,TEXT(DATE(($C$2+0),9,13),"aaa"),"")</f>
        <v/>
      </c>
      <c r="M17" s="11">
        <f>IF(DAY(DATE(($C$2+0),9,13))=13,IFERROR(VLOOKUP(DATE(($C$2+0),9,13),祝日!$A$2:$B$65,2,FALSE),""),"")</f>
        <v/>
      </c>
      <c r="N17" s="10">
        <f>IF(DAY(DATE(($C$2+0),10,13))=13,TEXT(DATE(($C$2+0),10,13),"aaa"),"")</f>
        <v/>
      </c>
      <c r="O17" s="11">
        <f>IF(DAY(DATE(($C$2+0),10,13))=13,IFERROR(VLOOKUP(DATE(($C$2+0),10,13),祝日!$A$2:$B$65,2,FALSE),""),"")</f>
        <v/>
      </c>
      <c r="P17" s="10">
        <f>IF(DAY(DATE(($C$2+0),11,13))=13,TEXT(DATE(($C$2+0),11,13),"aaa"),"")</f>
        <v/>
      </c>
      <c r="Q17" s="11">
        <f>IF(DAY(DATE(($C$2+0),11,13))=13,IFERROR(VLOOKUP(DATE(($C$2+0),11,13),祝日!$A$2:$B$65,2,FALSE),""),"")</f>
        <v/>
      </c>
      <c r="R17" s="10">
        <f>IF(DAY(DATE(($C$2+0),12,13))=13,TEXT(DATE(($C$2+0),12,13),"aaa"),"")</f>
        <v/>
      </c>
      <c r="S17" s="11">
        <f>IF(DAY(DATE(($C$2+0),12,13))=13,IFERROR(VLOOKUP(DATE(($C$2+0),12,13),祝日!$A$2:$B$65,2,FALSE),""),"")</f>
        <v/>
      </c>
      <c r="T17" s="10">
        <f>IF(DAY(DATE(($C$2+1),1,13))=13,TEXT(DATE(($C$2+1),1,13),"aaa"),"")</f>
        <v/>
      </c>
      <c r="U17" s="11">
        <f>IF(DAY(DATE(($C$2+1),1,13))=13,IFERROR(VLOOKUP(DATE(($C$2+1),1,13),祝日!$A$2:$B$65,2,FALSE),""),"")</f>
        <v/>
      </c>
      <c r="V17" s="10">
        <f>IF(DAY(DATE(($C$2+1),2,13))=13,TEXT(DATE(($C$2+1),2,13),"aaa"),"")</f>
        <v/>
      </c>
      <c r="W17" s="11">
        <f>IF(DAY(DATE(($C$2+1),2,13))=13,IFERROR(VLOOKUP(DATE(($C$2+1),2,13),祝日!$A$2:$B$65,2,FALSE),""),"")</f>
        <v/>
      </c>
      <c r="X17" s="10">
        <f>IF(DAY(DATE(($C$2+1),3,13))=13,TEXT(DATE(($C$2+1),3,13),"aaa"),"")</f>
        <v/>
      </c>
      <c r="Y17" s="11">
        <f>IF(DAY(DATE(($C$2+1),3,13))=13,IFERROR(VLOOKUP(DATE(($C$2+1),3,13),祝日!$A$2:$B$65,2,FALSE),""),"")</f>
        <v/>
      </c>
    </row>
    <row r="18" ht="17" customHeight="1">
      <c r="A18" s="9" t="n">
        <v>14</v>
      </c>
      <c r="B18" s="10">
        <f>IF(DAY(DATE(($C$2+0),4,14))=14,TEXT(DATE(($C$2+0),4,14),"aaa"),"")</f>
        <v/>
      </c>
      <c r="C18" s="11">
        <f>IF(DAY(DATE(($C$2+0),4,14))=14,IFERROR(VLOOKUP(DATE(($C$2+0),4,14),祝日!$A$2:$B$65,2,FALSE),""),"")</f>
        <v/>
      </c>
      <c r="D18" s="10">
        <f>IF(DAY(DATE(($C$2+0),5,14))=14,TEXT(DATE(($C$2+0),5,14),"aaa"),"")</f>
        <v/>
      </c>
      <c r="E18" s="11">
        <f>IF(DAY(DATE(($C$2+0),5,14))=14,IFERROR(VLOOKUP(DATE(($C$2+0),5,14),祝日!$A$2:$B$65,2,FALSE),""),"")</f>
        <v/>
      </c>
      <c r="F18" s="10">
        <f>IF(DAY(DATE(($C$2+0),6,14))=14,TEXT(DATE(($C$2+0),6,14),"aaa"),"")</f>
        <v/>
      </c>
      <c r="G18" s="11">
        <f>IF(DAY(DATE(($C$2+0),6,14))=14,IFERROR(VLOOKUP(DATE(($C$2+0),6,14),祝日!$A$2:$B$65,2,FALSE),""),"")</f>
        <v/>
      </c>
      <c r="H18" s="10">
        <f>IF(DAY(DATE(($C$2+0),7,14))=14,TEXT(DATE(($C$2+0),7,14),"aaa"),"")</f>
        <v/>
      </c>
      <c r="I18" s="11">
        <f>IF(DAY(DATE(($C$2+0),7,14))=14,IFERROR(VLOOKUP(DATE(($C$2+0),7,14),祝日!$A$2:$B$65,2,FALSE),""),"")</f>
        <v/>
      </c>
      <c r="J18" s="10">
        <f>IF(DAY(DATE(($C$2+0),8,14))=14,TEXT(DATE(($C$2+0),8,14),"aaa"),"")</f>
        <v/>
      </c>
      <c r="K18" s="11">
        <f>IF(DAY(DATE(($C$2+0),8,14))=14,IFERROR(VLOOKUP(DATE(($C$2+0),8,14),祝日!$A$2:$B$65,2,FALSE),""),"")</f>
        <v/>
      </c>
      <c r="L18" s="10">
        <f>IF(DAY(DATE(($C$2+0),9,14))=14,TEXT(DATE(($C$2+0),9,14),"aaa"),"")</f>
        <v/>
      </c>
      <c r="M18" s="11">
        <f>IF(DAY(DATE(($C$2+0),9,14))=14,IFERROR(VLOOKUP(DATE(($C$2+0),9,14),祝日!$A$2:$B$65,2,FALSE),""),"")</f>
        <v/>
      </c>
      <c r="N18" s="10">
        <f>IF(DAY(DATE(($C$2+0),10,14))=14,TEXT(DATE(($C$2+0),10,14),"aaa"),"")</f>
        <v/>
      </c>
      <c r="O18" s="11">
        <f>IF(DAY(DATE(($C$2+0),10,14))=14,IFERROR(VLOOKUP(DATE(($C$2+0),10,14),祝日!$A$2:$B$65,2,FALSE),""),"")</f>
        <v/>
      </c>
      <c r="P18" s="10">
        <f>IF(DAY(DATE(($C$2+0),11,14))=14,TEXT(DATE(($C$2+0),11,14),"aaa"),"")</f>
        <v/>
      </c>
      <c r="Q18" s="11">
        <f>IF(DAY(DATE(($C$2+0),11,14))=14,IFERROR(VLOOKUP(DATE(($C$2+0),11,14),祝日!$A$2:$B$65,2,FALSE),""),"")</f>
        <v/>
      </c>
      <c r="R18" s="10">
        <f>IF(DAY(DATE(($C$2+0),12,14))=14,TEXT(DATE(($C$2+0),12,14),"aaa"),"")</f>
        <v/>
      </c>
      <c r="S18" s="11">
        <f>IF(DAY(DATE(($C$2+0),12,14))=14,IFERROR(VLOOKUP(DATE(($C$2+0),12,14),祝日!$A$2:$B$65,2,FALSE),""),"")</f>
        <v/>
      </c>
      <c r="T18" s="10">
        <f>IF(DAY(DATE(($C$2+1),1,14))=14,TEXT(DATE(($C$2+1),1,14),"aaa"),"")</f>
        <v/>
      </c>
      <c r="U18" s="11">
        <f>IF(DAY(DATE(($C$2+1),1,14))=14,IFERROR(VLOOKUP(DATE(($C$2+1),1,14),祝日!$A$2:$B$65,2,FALSE),""),"")</f>
        <v/>
      </c>
      <c r="V18" s="10">
        <f>IF(DAY(DATE(($C$2+1),2,14))=14,TEXT(DATE(($C$2+1),2,14),"aaa"),"")</f>
        <v/>
      </c>
      <c r="W18" s="11">
        <f>IF(DAY(DATE(($C$2+1),2,14))=14,IFERROR(VLOOKUP(DATE(($C$2+1),2,14),祝日!$A$2:$B$65,2,FALSE),""),"")</f>
        <v/>
      </c>
      <c r="X18" s="10">
        <f>IF(DAY(DATE(($C$2+1),3,14))=14,TEXT(DATE(($C$2+1),3,14),"aaa"),"")</f>
        <v/>
      </c>
      <c r="Y18" s="11">
        <f>IF(DAY(DATE(($C$2+1),3,14))=14,IFERROR(VLOOKUP(DATE(($C$2+1),3,14),祝日!$A$2:$B$65,2,FALSE),""),"")</f>
        <v/>
      </c>
    </row>
    <row r="19" ht="17" customHeight="1">
      <c r="A19" s="9" t="n">
        <v>15</v>
      </c>
      <c r="B19" s="10">
        <f>IF(DAY(DATE(($C$2+0),4,15))=15,TEXT(DATE(($C$2+0),4,15),"aaa"),"")</f>
        <v/>
      </c>
      <c r="C19" s="11">
        <f>IF(DAY(DATE(($C$2+0),4,15))=15,IFERROR(VLOOKUP(DATE(($C$2+0),4,15),祝日!$A$2:$B$65,2,FALSE),""),"")</f>
        <v/>
      </c>
      <c r="D19" s="10">
        <f>IF(DAY(DATE(($C$2+0),5,15))=15,TEXT(DATE(($C$2+0),5,15),"aaa"),"")</f>
        <v/>
      </c>
      <c r="E19" s="12" t="inlineStr">
        <is>
          <t>遠足</t>
        </is>
      </c>
      <c r="F19" s="10">
        <f>IF(DAY(DATE(($C$2+0),6,15))=15,TEXT(DATE(($C$2+0),6,15),"aaa"),"")</f>
        <v/>
      </c>
      <c r="G19" s="11">
        <f>IF(DAY(DATE(($C$2+0),6,15))=15,IFERROR(VLOOKUP(DATE(($C$2+0),6,15),祝日!$A$2:$B$65,2,FALSE),""),"")</f>
        <v/>
      </c>
      <c r="H19" s="10">
        <f>IF(DAY(DATE(($C$2+0),7,15))=15,TEXT(DATE(($C$2+0),7,15),"aaa"),"")</f>
        <v/>
      </c>
      <c r="I19" s="11">
        <f>IF(DAY(DATE(($C$2+0),7,15))=15,IFERROR(VLOOKUP(DATE(($C$2+0),7,15),祝日!$A$2:$B$65,2,FALSE),""),"")</f>
        <v/>
      </c>
      <c r="J19" s="10">
        <f>IF(DAY(DATE(($C$2+0),8,15))=15,TEXT(DATE(($C$2+0),8,15),"aaa"),"")</f>
        <v/>
      </c>
      <c r="K19" s="11">
        <f>IF(DAY(DATE(($C$2+0),8,15))=15,IFERROR(VLOOKUP(DATE(($C$2+0),8,15),祝日!$A$2:$B$65,2,FALSE),""),"")</f>
        <v/>
      </c>
      <c r="L19" s="10">
        <f>IF(DAY(DATE(($C$2+0),9,15))=15,TEXT(DATE(($C$2+0),9,15),"aaa"),"")</f>
        <v/>
      </c>
      <c r="M19" s="11">
        <f>IF(DAY(DATE(($C$2+0),9,15))=15,IFERROR(VLOOKUP(DATE(($C$2+0),9,15),祝日!$A$2:$B$65,2,FALSE),""),"")</f>
        <v/>
      </c>
      <c r="N19" s="10">
        <f>IF(DAY(DATE(($C$2+0),10,15))=15,TEXT(DATE(($C$2+0),10,15),"aaa"),"")</f>
        <v/>
      </c>
      <c r="O19" s="11">
        <f>IF(DAY(DATE(($C$2+0),10,15))=15,IFERROR(VLOOKUP(DATE(($C$2+0),10,15),祝日!$A$2:$B$65,2,FALSE),""),"")</f>
        <v/>
      </c>
      <c r="P19" s="10">
        <f>IF(DAY(DATE(($C$2+0),11,15))=15,TEXT(DATE(($C$2+0),11,15),"aaa"),"")</f>
        <v/>
      </c>
      <c r="Q19" s="11">
        <f>IF(DAY(DATE(($C$2+0),11,15))=15,IFERROR(VLOOKUP(DATE(($C$2+0),11,15),祝日!$A$2:$B$65,2,FALSE),""),"")</f>
        <v/>
      </c>
      <c r="R19" s="10">
        <f>IF(DAY(DATE(($C$2+0),12,15))=15,TEXT(DATE(($C$2+0),12,15),"aaa"),"")</f>
        <v/>
      </c>
      <c r="S19" s="11">
        <f>IF(DAY(DATE(($C$2+0),12,15))=15,IFERROR(VLOOKUP(DATE(($C$2+0),12,15),祝日!$A$2:$B$65,2,FALSE),""),"")</f>
        <v/>
      </c>
      <c r="T19" s="10">
        <f>IF(DAY(DATE(($C$2+1),1,15))=15,TEXT(DATE(($C$2+1),1,15),"aaa"),"")</f>
        <v/>
      </c>
      <c r="U19" s="11">
        <f>IF(DAY(DATE(($C$2+1),1,15))=15,IFERROR(VLOOKUP(DATE(($C$2+1),1,15),祝日!$A$2:$B$65,2,FALSE),""),"")</f>
        <v/>
      </c>
      <c r="V19" s="10">
        <f>IF(DAY(DATE(($C$2+1),2,15))=15,TEXT(DATE(($C$2+1),2,15),"aaa"),"")</f>
        <v/>
      </c>
      <c r="W19" s="11">
        <f>IF(DAY(DATE(($C$2+1),2,15))=15,IFERROR(VLOOKUP(DATE(($C$2+1),2,15),祝日!$A$2:$B$65,2,FALSE),""),"")</f>
        <v/>
      </c>
      <c r="X19" s="10">
        <f>IF(DAY(DATE(($C$2+1),3,15))=15,TEXT(DATE(($C$2+1),3,15),"aaa"),"")</f>
        <v/>
      </c>
      <c r="Y19" s="11">
        <f>IF(DAY(DATE(($C$2+1),3,15))=15,IFERROR(VLOOKUP(DATE(($C$2+1),3,15),祝日!$A$2:$B$65,2,FALSE),""),"")</f>
        <v/>
      </c>
    </row>
    <row r="20" ht="17" customHeight="1">
      <c r="A20" s="9" t="n">
        <v>16</v>
      </c>
      <c r="B20" s="10">
        <f>IF(DAY(DATE(($C$2+0),4,16))=16,TEXT(DATE(($C$2+0),4,16),"aaa"),"")</f>
        <v/>
      </c>
      <c r="C20" s="11">
        <f>IF(DAY(DATE(($C$2+0),4,16))=16,IFERROR(VLOOKUP(DATE(($C$2+0),4,16),祝日!$A$2:$B$65,2,FALSE),""),"")</f>
        <v/>
      </c>
      <c r="D20" s="10">
        <f>IF(DAY(DATE(($C$2+0),5,16))=16,TEXT(DATE(($C$2+0),5,16),"aaa"),"")</f>
        <v/>
      </c>
      <c r="E20" s="11">
        <f>IF(DAY(DATE(($C$2+0),5,16))=16,IFERROR(VLOOKUP(DATE(($C$2+0),5,16),祝日!$A$2:$B$65,2,FALSE),""),"")</f>
        <v/>
      </c>
      <c r="F20" s="10">
        <f>IF(DAY(DATE(($C$2+0),6,16))=16,TEXT(DATE(($C$2+0),6,16),"aaa"),"")</f>
        <v/>
      </c>
      <c r="G20" s="11">
        <f>IF(DAY(DATE(($C$2+0),6,16))=16,IFERROR(VLOOKUP(DATE(($C$2+0),6,16),祝日!$A$2:$B$65,2,FALSE),""),"")</f>
        <v/>
      </c>
      <c r="H20" s="10">
        <f>IF(DAY(DATE(($C$2+0),7,16))=16,TEXT(DATE(($C$2+0),7,16),"aaa"),"")</f>
        <v/>
      </c>
      <c r="I20" s="11">
        <f>IF(DAY(DATE(($C$2+0),7,16))=16,IFERROR(VLOOKUP(DATE(($C$2+0),7,16),祝日!$A$2:$B$65,2,FALSE),""),"")</f>
        <v/>
      </c>
      <c r="J20" s="10">
        <f>IF(DAY(DATE(($C$2+0),8,16))=16,TEXT(DATE(($C$2+0),8,16),"aaa"),"")</f>
        <v/>
      </c>
      <c r="K20" s="11">
        <f>IF(DAY(DATE(($C$2+0),8,16))=16,IFERROR(VLOOKUP(DATE(($C$2+0),8,16),祝日!$A$2:$B$65,2,FALSE),""),"")</f>
        <v/>
      </c>
      <c r="L20" s="10">
        <f>IF(DAY(DATE(($C$2+0),9,16))=16,TEXT(DATE(($C$2+0),9,16),"aaa"),"")</f>
        <v/>
      </c>
      <c r="M20" s="11">
        <f>IF(DAY(DATE(($C$2+0),9,16))=16,IFERROR(VLOOKUP(DATE(($C$2+0),9,16),祝日!$A$2:$B$65,2,FALSE),""),"")</f>
        <v/>
      </c>
      <c r="N20" s="10">
        <f>IF(DAY(DATE(($C$2+0),10,16))=16,TEXT(DATE(($C$2+0),10,16),"aaa"),"")</f>
        <v/>
      </c>
      <c r="O20" s="12" t="inlineStr">
        <is>
          <t>校外学習</t>
        </is>
      </c>
      <c r="P20" s="10">
        <f>IF(DAY(DATE(($C$2+0),11,16))=16,TEXT(DATE(($C$2+0),11,16),"aaa"),"")</f>
        <v/>
      </c>
      <c r="Q20" s="11">
        <f>IF(DAY(DATE(($C$2+0),11,16))=16,IFERROR(VLOOKUP(DATE(($C$2+0),11,16),祝日!$A$2:$B$65,2,FALSE),""),"")</f>
        <v/>
      </c>
      <c r="R20" s="10">
        <f>IF(DAY(DATE(($C$2+0),12,16))=16,TEXT(DATE(($C$2+0),12,16),"aaa"),"")</f>
        <v/>
      </c>
      <c r="S20" s="11">
        <f>IF(DAY(DATE(($C$2+0),12,16))=16,IFERROR(VLOOKUP(DATE(($C$2+0),12,16),祝日!$A$2:$B$65,2,FALSE),""),"")</f>
        <v/>
      </c>
      <c r="T20" s="10">
        <f>IF(DAY(DATE(($C$2+1),1,16))=16,TEXT(DATE(($C$2+1),1,16),"aaa"),"")</f>
        <v/>
      </c>
      <c r="U20" s="11">
        <f>IF(DAY(DATE(($C$2+1),1,16))=16,IFERROR(VLOOKUP(DATE(($C$2+1),1,16),祝日!$A$2:$B$65,2,FALSE),""),"")</f>
        <v/>
      </c>
      <c r="V20" s="10">
        <f>IF(DAY(DATE(($C$2+1),2,16))=16,TEXT(DATE(($C$2+1),2,16),"aaa"),"")</f>
        <v/>
      </c>
      <c r="W20" s="11">
        <f>IF(DAY(DATE(($C$2+1),2,16))=16,IFERROR(VLOOKUP(DATE(($C$2+1),2,16),祝日!$A$2:$B$65,2,FALSE),""),"")</f>
        <v/>
      </c>
      <c r="X20" s="10">
        <f>IF(DAY(DATE(($C$2+1),3,16))=16,TEXT(DATE(($C$2+1),3,16),"aaa"),"")</f>
        <v/>
      </c>
      <c r="Y20" s="11">
        <f>IF(DAY(DATE(($C$2+1),3,16))=16,IFERROR(VLOOKUP(DATE(($C$2+1),3,16),祝日!$A$2:$B$65,2,FALSE),""),"")</f>
        <v/>
      </c>
    </row>
    <row r="21" ht="17" customHeight="1">
      <c r="A21" s="9" t="n">
        <v>17</v>
      </c>
      <c r="B21" s="10">
        <f>IF(DAY(DATE(($C$2+0),4,17))=17,TEXT(DATE(($C$2+0),4,17),"aaa"),"")</f>
        <v/>
      </c>
      <c r="C21" s="12" t="inlineStr">
        <is>
          <t>授業参観・懇談会</t>
        </is>
      </c>
      <c r="D21" s="10">
        <f>IF(DAY(DATE(($C$2+0),5,17))=17,TEXT(DATE(($C$2+0),5,17),"aaa"),"")</f>
        <v/>
      </c>
      <c r="E21" s="11">
        <f>IF(DAY(DATE(($C$2+0),5,17))=17,IFERROR(VLOOKUP(DATE(($C$2+0),5,17),祝日!$A$2:$B$65,2,FALSE),""),"")</f>
        <v/>
      </c>
      <c r="F21" s="10">
        <f>IF(DAY(DATE(($C$2+0),6,17))=17,TEXT(DATE(($C$2+0),6,17),"aaa"),"")</f>
        <v/>
      </c>
      <c r="G21" s="11">
        <f>IF(DAY(DATE(($C$2+0),6,17))=17,IFERROR(VLOOKUP(DATE(($C$2+0),6,17),祝日!$A$2:$B$65,2,FALSE),""),"")</f>
        <v/>
      </c>
      <c r="H21" s="10">
        <f>IF(DAY(DATE(($C$2+0),7,17))=17,TEXT(DATE(($C$2+0),7,17),"aaa"),"")</f>
        <v/>
      </c>
      <c r="I21" s="12" t="inlineStr">
        <is>
          <t>終業式</t>
        </is>
      </c>
      <c r="J21" s="10">
        <f>IF(DAY(DATE(($C$2+0),8,17))=17,TEXT(DATE(($C$2+0),8,17),"aaa"),"")</f>
        <v/>
      </c>
      <c r="K21" s="11">
        <f>IF(DAY(DATE(($C$2+0),8,17))=17,IFERROR(VLOOKUP(DATE(($C$2+0),8,17),祝日!$A$2:$B$65,2,FALSE),""),"")</f>
        <v/>
      </c>
      <c r="L21" s="10">
        <f>IF(DAY(DATE(($C$2+0),9,17))=17,TEXT(DATE(($C$2+0),9,17),"aaa"),"")</f>
        <v/>
      </c>
      <c r="M21" s="11">
        <f>IF(DAY(DATE(($C$2+0),9,17))=17,IFERROR(VLOOKUP(DATE(($C$2+0),9,17),祝日!$A$2:$B$65,2,FALSE),""),"")</f>
        <v/>
      </c>
      <c r="N21" s="10">
        <f>IF(DAY(DATE(($C$2+0),10,17))=17,TEXT(DATE(($C$2+0),10,17),"aaa"),"")</f>
        <v/>
      </c>
      <c r="O21" s="11">
        <f>IF(DAY(DATE(($C$2+0),10,17))=17,IFERROR(VLOOKUP(DATE(($C$2+0),10,17),祝日!$A$2:$B$65,2,FALSE),""),"")</f>
        <v/>
      </c>
      <c r="P21" s="10">
        <f>IF(DAY(DATE(($C$2+0),11,17))=17,TEXT(DATE(($C$2+0),11,17),"aaa"),"")</f>
        <v/>
      </c>
      <c r="Q21" s="11">
        <f>IF(DAY(DATE(($C$2+0),11,17))=17,IFERROR(VLOOKUP(DATE(($C$2+0),11,17),祝日!$A$2:$B$65,2,FALSE),""),"")</f>
        <v/>
      </c>
      <c r="R21" s="10">
        <f>IF(DAY(DATE(($C$2+0),12,17))=17,TEXT(DATE(($C$2+0),12,17),"aaa"),"")</f>
        <v/>
      </c>
      <c r="S21" s="11">
        <f>IF(DAY(DATE(($C$2+0),12,17))=17,IFERROR(VLOOKUP(DATE(($C$2+0),12,17),祝日!$A$2:$B$65,2,FALSE),""),"")</f>
        <v/>
      </c>
      <c r="T21" s="10">
        <f>IF(DAY(DATE(($C$2+1),1,17))=17,TEXT(DATE(($C$2+1),1,17),"aaa"),"")</f>
        <v/>
      </c>
      <c r="U21" s="11">
        <f>IF(DAY(DATE(($C$2+1),1,17))=17,IFERROR(VLOOKUP(DATE(($C$2+1),1,17),祝日!$A$2:$B$65,2,FALSE),""),"")</f>
        <v/>
      </c>
      <c r="V21" s="10">
        <f>IF(DAY(DATE(($C$2+1),2,17))=17,TEXT(DATE(($C$2+1),2,17),"aaa"),"")</f>
        <v/>
      </c>
      <c r="W21" s="11">
        <f>IF(DAY(DATE(($C$2+1),2,17))=17,IFERROR(VLOOKUP(DATE(($C$2+1),2,17),祝日!$A$2:$B$65,2,FALSE),""),"")</f>
        <v/>
      </c>
      <c r="X21" s="10">
        <f>IF(DAY(DATE(($C$2+1),3,17))=17,TEXT(DATE(($C$2+1),3,17),"aaa"),"")</f>
        <v/>
      </c>
      <c r="Y21" s="11">
        <f>IF(DAY(DATE(($C$2+1),3,17))=17,IFERROR(VLOOKUP(DATE(($C$2+1),3,17),祝日!$A$2:$B$65,2,FALSE),""),"")</f>
        <v/>
      </c>
    </row>
    <row r="22" ht="17" customHeight="1">
      <c r="A22" s="9" t="n">
        <v>18</v>
      </c>
      <c r="B22" s="10">
        <f>IF(DAY(DATE(($C$2+0),4,18))=18,TEXT(DATE(($C$2+0),4,18),"aaa"),"")</f>
        <v/>
      </c>
      <c r="C22" s="11">
        <f>IF(DAY(DATE(($C$2+0),4,18))=18,IFERROR(VLOOKUP(DATE(($C$2+0),4,18),祝日!$A$2:$B$65,2,FALSE),""),"")</f>
        <v/>
      </c>
      <c r="D22" s="10">
        <f>IF(DAY(DATE(($C$2+0),5,18))=18,TEXT(DATE(($C$2+0),5,18),"aaa"),"")</f>
        <v/>
      </c>
      <c r="E22" s="11">
        <f>IF(DAY(DATE(($C$2+0),5,18))=18,IFERROR(VLOOKUP(DATE(($C$2+0),5,18),祝日!$A$2:$B$65,2,FALSE),""),"")</f>
        <v/>
      </c>
      <c r="F22" s="10">
        <f>IF(DAY(DATE(($C$2+0),6,18))=18,TEXT(DATE(($C$2+0),6,18),"aaa"),"")</f>
        <v/>
      </c>
      <c r="G22" s="11">
        <f>IF(DAY(DATE(($C$2+0),6,18))=18,IFERROR(VLOOKUP(DATE(($C$2+0),6,18),祝日!$A$2:$B$65,2,FALSE),""),"")</f>
        <v/>
      </c>
      <c r="H22" s="10">
        <f>IF(DAY(DATE(($C$2+0),7,18))=18,TEXT(DATE(($C$2+0),7,18),"aaa"),"")</f>
        <v/>
      </c>
      <c r="I22" s="11">
        <f>IF(DAY(DATE(($C$2+0),7,18))=18,IFERROR(VLOOKUP(DATE(($C$2+0),7,18),祝日!$A$2:$B$65,2,FALSE),""),"")</f>
        <v/>
      </c>
      <c r="J22" s="10">
        <f>IF(DAY(DATE(($C$2+0),8,18))=18,TEXT(DATE(($C$2+0),8,18),"aaa"),"")</f>
        <v/>
      </c>
      <c r="K22" s="11">
        <f>IF(DAY(DATE(($C$2+0),8,18))=18,IFERROR(VLOOKUP(DATE(($C$2+0),8,18),祝日!$A$2:$B$65,2,FALSE),""),"")</f>
        <v/>
      </c>
      <c r="L22" s="10">
        <f>IF(DAY(DATE(($C$2+0),9,18))=18,TEXT(DATE(($C$2+0),9,18),"aaa"),"")</f>
        <v/>
      </c>
      <c r="M22" s="11">
        <f>IF(DAY(DATE(($C$2+0),9,18))=18,IFERROR(VLOOKUP(DATE(($C$2+0),9,18),祝日!$A$2:$B$65,2,FALSE),""),"")</f>
        <v/>
      </c>
      <c r="N22" s="10">
        <f>IF(DAY(DATE(($C$2+0),10,18))=18,TEXT(DATE(($C$2+0),10,18),"aaa"),"")</f>
        <v/>
      </c>
      <c r="O22" s="11">
        <f>IF(DAY(DATE(($C$2+0),10,18))=18,IFERROR(VLOOKUP(DATE(($C$2+0),10,18),祝日!$A$2:$B$65,2,FALSE),""),"")</f>
        <v/>
      </c>
      <c r="P22" s="10">
        <f>IF(DAY(DATE(($C$2+0),11,18))=18,TEXT(DATE(($C$2+0),11,18),"aaa"),"")</f>
        <v/>
      </c>
      <c r="Q22" s="11">
        <f>IF(DAY(DATE(($C$2+0),11,18))=18,IFERROR(VLOOKUP(DATE(($C$2+0),11,18),祝日!$A$2:$B$65,2,FALSE),""),"")</f>
        <v/>
      </c>
      <c r="R22" s="10">
        <f>IF(DAY(DATE(($C$2+0),12,18))=18,TEXT(DATE(($C$2+0),12,18),"aaa"),"")</f>
        <v/>
      </c>
      <c r="S22" s="11">
        <f>IF(DAY(DATE(($C$2+0),12,18))=18,IFERROR(VLOOKUP(DATE(($C$2+0),12,18),祝日!$A$2:$B$65,2,FALSE),""),"")</f>
        <v/>
      </c>
      <c r="T22" s="10">
        <f>IF(DAY(DATE(($C$2+1),1,18))=18,TEXT(DATE(($C$2+1),1,18),"aaa"),"")</f>
        <v/>
      </c>
      <c r="U22" s="11">
        <f>IF(DAY(DATE(($C$2+1),1,18))=18,IFERROR(VLOOKUP(DATE(($C$2+1),1,18),祝日!$A$2:$B$65,2,FALSE),""),"")</f>
        <v/>
      </c>
      <c r="V22" s="10">
        <f>IF(DAY(DATE(($C$2+1),2,18))=18,TEXT(DATE(($C$2+1),2,18),"aaa"),"")</f>
        <v/>
      </c>
      <c r="W22" s="11">
        <f>IF(DAY(DATE(($C$2+1),2,18))=18,IFERROR(VLOOKUP(DATE(($C$2+1),2,18),祝日!$A$2:$B$65,2,FALSE),""),"")</f>
        <v/>
      </c>
      <c r="X22" s="10">
        <f>IF(DAY(DATE(($C$2+1),3,18))=18,TEXT(DATE(($C$2+1),3,18),"aaa"),"")</f>
        <v/>
      </c>
      <c r="Y22" s="12" t="inlineStr">
        <is>
          <t>卒業式</t>
        </is>
      </c>
    </row>
    <row r="23" ht="17" customHeight="1">
      <c r="A23" s="9" t="n">
        <v>19</v>
      </c>
      <c r="B23" s="10">
        <f>IF(DAY(DATE(($C$2+0),4,19))=19,TEXT(DATE(($C$2+0),4,19),"aaa"),"")</f>
        <v/>
      </c>
      <c r="C23" s="11">
        <f>IF(DAY(DATE(($C$2+0),4,19))=19,IFERROR(VLOOKUP(DATE(($C$2+0),4,19),祝日!$A$2:$B$65,2,FALSE),""),"")</f>
        <v/>
      </c>
      <c r="D23" s="10">
        <f>IF(DAY(DATE(($C$2+0),5,19))=19,TEXT(DATE(($C$2+0),5,19),"aaa"),"")</f>
        <v/>
      </c>
      <c r="E23" s="11">
        <f>IF(DAY(DATE(($C$2+0),5,19))=19,IFERROR(VLOOKUP(DATE(($C$2+0),5,19),祝日!$A$2:$B$65,2,FALSE),""),"")</f>
        <v/>
      </c>
      <c r="F23" s="10">
        <f>IF(DAY(DATE(($C$2+0),6,19))=19,TEXT(DATE(($C$2+0),6,19),"aaa"),"")</f>
        <v/>
      </c>
      <c r="G23" s="11">
        <f>IF(DAY(DATE(($C$2+0),6,19))=19,IFERROR(VLOOKUP(DATE(($C$2+0),6,19),祝日!$A$2:$B$65,2,FALSE),""),"")</f>
        <v/>
      </c>
      <c r="H23" s="10">
        <f>IF(DAY(DATE(($C$2+0),7,19))=19,TEXT(DATE(($C$2+0),7,19),"aaa"),"")</f>
        <v/>
      </c>
      <c r="I23" s="11">
        <f>IF(DAY(DATE(($C$2+0),7,19))=19,IFERROR(VLOOKUP(DATE(($C$2+0),7,19),祝日!$A$2:$B$65,2,FALSE),""),"")</f>
        <v/>
      </c>
      <c r="J23" s="10">
        <f>IF(DAY(DATE(($C$2+0),8,19))=19,TEXT(DATE(($C$2+0),8,19),"aaa"),"")</f>
        <v/>
      </c>
      <c r="K23" s="11">
        <f>IF(DAY(DATE(($C$2+0),8,19))=19,IFERROR(VLOOKUP(DATE(($C$2+0),8,19),祝日!$A$2:$B$65,2,FALSE),""),"")</f>
        <v/>
      </c>
      <c r="L23" s="10">
        <f>IF(DAY(DATE(($C$2+0),9,19))=19,TEXT(DATE(($C$2+0),9,19),"aaa"),"")</f>
        <v/>
      </c>
      <c r="M23" s="11">
        <f>IF(DAY(DATE(($C$2+0),9,19))=19,IFERROR(VLOOKUP(DATE(($C$2+0),9,19),祝日!$A$2:$B$65,2,FALSE),""),"")</f>
        <v/>
      </c>
      <c r="N23" s="10">
        <f>IF(DAY(DATE(($C$2+0),10,19))=19,TEXT(DATE(($C$2+0),10,19),"aaa"),"")</f>
        <v/>
      </c>
      <c r="O23" s="11">
        <f>IF(DAY(DATE(($C$2+0),10,19))=19,IFERROR(VLOOKUP(DATE(($C$2+0),10,19),祝日!$A$2:$B$65,2,FALSE),""),"")</f>
        <v/>
      </c>
      <c r="P23" s="10">
        <f>IF(DAY(DATE(($C$2+0),11,19))=19,TEXT(DATE(($C$2+0),11,19),"aaa"),"")</f>
        <v/>
      </c>
      <c r="Q23" s="11">
        <f>IF(DAY(DATE(($C$2+0),11,19))=19,IFERROR(VLOOKUP(DATE(($C$2+0),11,19),祝日!$A$2:$B$65,2,FALSE),""),"")</f>
        <v/>
      </c>
      <c r="R23" s="10">
        <f>IF(DAY(DATE(($C$2+0),12,19))=19,TEXT(DATE(($C$2+0),12,19),"aaa"),"")</f>
        <v/>
      </c>
      <c r="S23" s="11">
        <f>IF(DAY(DATE(($C$2+0),12,19))=19,IFERROR(VLOOKUP(DATE(($C$2+0),12,19),祝日!$A$2:$B$65,2,FALSE),""),"")</f>
        <v/>
      </c>
      <c r="T23" s="10">
        <f>IF(DAY(DATE(($C$2+1),1,19))=19,TEXT(DATE(($C$2+1),1,19),"aaa"),"")</f>
        <v/>
      </c>
      <c r="U23" s="11">
        <f>IF(DAY(DATE(($C$2+1),1,19))=19,IFERROR(VLOOKUP(DATE(($C$2+1),1,19),祝日!$A$2:$B$65,2,FALSE),""),"")</f>
        <v/>
      </c>
      <c r="V23" s="10">
        <f>IF(DAY(DATE(($C$2+1),2,19))=19,TEXT(DATE(($C$2+1),2,19),"aaa"),"")</f>
        <v/>
      </c>
      <c r="W23" s="12" t="inlineStr">
        <is>
          <t>6年生を送る会</t>
        </is>
      </c>
      <c r="X23" s="10">
        <f>IF(DAY(DATE(($C$2+1),3,19))=19,TEXT(DATE(($C$2+1),3,19),"aaa"),"")</f>
        <v/>
      </c>
      <c r="Y23" s="11">
        <f>IF(DAY(DATE(($C$2+1),3,19))=19,IFERROR(VLOOKUP(DATE(($C$2+1),3,19),祝日!$A$2:$B$65,2,FALSE),""),"")</f>
        <v/>
      </c>
    </row>
    <row r="24" ht="17" customHeight="1">
      <c r="A24" s="9" t="n">
        <v>20</v>
      </c>
      <c r="B24" s="10">
        <f>IF(DAY(DATE(($C$2+0),4,20))=20,TEXT(DATE(($C$2+0),4,20),"aaa"),"")</f>
        <v/>
      </c>
      <c r="C24" s="11">
        <f>IF(DAY(DATE(($C$2+0),4,20))=20,IFERROR(VLOOKUP(DATE(($C$2+0),4,20),祝日!$A$2:$B$65,2,FALSE),""),"")</f>
        <v/>
      </c>
      <c r="D24" s="10">
        <f>IF(DAY(DATE(($C$2+0),5,20))=20,TEXT(DATE(($C$2+0),5,20),"aaa"),"")</f>
        <v/>
      </c>
      <c r="E24" s="11">
        <f>IF(DAY(DATE(($C$2+0),5,20))=20,IFERROR(VLOOKUP(DATE(($C$2+0),5,20),祝日!$A$2:$B$65,2,FALSE),""),"")</f>
        <v/>
      </c>
      <c r="F24" s="10">
        <f>IF(DAY(DATE(($C$2+0),6,20))=20,TEXT(DATE(($C$2+0),6,20),"aaa"),"")</f>
        <v/>
      </c>
      <c r="G24" s="11">
        <f>IF(DAY(DATE(($C$2+0),6,20))=20,IFERROR(VLOOKUP(DATE(($C$2+0),6,20),祝日!$A$2:$B$65,2,FALSE),""),"")</f>
        <v/>
      </c>
      <c r="H24" s="10">
        <f>IF(DAY(DATE(($C$2+0),7,20))=20,TEXT(DATE(($C$2+0),7,20),"aaa"),"")</f>
        <v/>
      </c>
      <c r="I24" s="11">
        <f>IF(DAY(DATE(($C$2+0),7,20))=20,IFERROR(VLOOKUP(DATE(($C$2+0),7,20),祝日!$A$2:$B$65,2,FALSE),""),"")</f>
        <v/>
      </c>
      <c r="J24" s="10">
        <f>IF(DAY(DATE(($C$2+0),8,20))=20,TEXT(DATE(($C$2+0),8,20),"aaa"),"")</f>
        <v/>
      </c>
      <c r="K24" s="11">
        <f>IF(DAY(DATE(($C$2+0),8,20))=20,IFERROR(VLOOKUP(DATE(($C$2+0),8,20),祝日!$A$2:$B$65,2,FALSE),""),"")</f>
        <v/>
      </c>
      <c r="L24" s="10">
        <f>IF(DAY(DATE(($C$2+0),9,20))=20,TEXT(DATE(($C$2+0),9,20),"aaa"),"")</f>
        <v/>
      </c>
      <c r="M24" s="11">
        <f>IF(DAY(DATE(($C$2+0),9,20))=20,IFERROR(VLOOKUP(DATE(($C$2+0),9,20),祝日!$A$2:$B$65,2,FALSE),""),"")</f>
        <v/>
      </c>
      <c r="N24" s="10">
        <f>IF(DAY(DATE(($C$2+0),10,20))=20,TEXT(DATE(($C$2+0),10,20),"aaa"),"")</f>
        <v/>
      </c>
      <c r="O24" s="11">
        <f>IF(DAY(DATE(($C$2+0),10,20))=20,IFERROR(VLOOKUP(DATE(($C$2+0),10,20),祝日!$A$2:$B$65,2,FALSE),""),"")</f>
        <v/>
      </c>
      <c r="P24" s="10">
        <f>IF(DAY(DATE(($C$2+0),11,20))=20,TEXT(DATE(($C$2+0),11,20),"aaa"),"")</f>
        <v/>
      </c>
      <c r="Q24" s="11">
        <f>IF(DAY(DATE(($C$2+0),11,20))=20,IFERROR(VLOOKUP(DATE(($C$2+0),11,20),祝日!$A$2:$B$65,2,FALSE),""),"")</f>
        <v/>
      </c>
      <c r="R24" s="10">
        <f>IF(DAY(DATE(($C$2+0),12,20))=20,TEXT(DATE(($C$2+0),12,20),"aaa"),"")</f>
        <v/>
      </c>
      <c r="S24" s="11">
        <f>IF(DAY(DATE(($C$2+0),12,20))=20,IFERROR(VLOOKUP(DATE(($C$2+0),12,20),祝日!$A$2:$B$65,2,FALSE),""),"")</f>
        <v/>
      </c>
      <c r="T24" s="10">
        <f>IF(DAY(DATE(($C$2+1),1,20))=20,TEXT(DATE(($C$2+1),1,20),"aaa"),"")</f>
        <v/>
      </c>
      <c r="U24" s="11">
        <f>IF(DAY(DATE(($C$2+1),1,20))=20,IFERROR(VLOOKUP(DATE(($C$2+1),1,20),祝日!$A$2:$B$65,2,FALSE),""),"")</f>
        <v/>
      </c>
      <c r="V24" s="10">
        <f>IF(DAY(DATE(($C$2+1),2,20))=20,TEXT(DATE(($C$2+1),2,20),"aaa"),"")</f>
        <v/>
      </c>
      <c r="W24" s="11">
        <f>IF(DAY(DATE(($C$2+1),2,20))=20,IFERROR(VLOOKUP(DATE(($C$2+1),2,20),祝日!$A$2:$B$65,2,FALSE),""),"")</f>
        <v/>
      </c>
      <c r="X24" s="10">
        <f>IF(DAY(DATE(($C$2+1),3,20))=20,TEXT(DATE(($C$2+1),3,20),"aaa"),"")</f>
        <v/>
      </c>
      <c r="Y24" s="11">
        <f>IF(DAY(DATE(($C$2+1),3,20))=20,IFERROR(VLOOKUP(DATE(($C$2+1),3,20),祝日!$A$2:$B$65,2,FALSE),""),"")</f>
        <v/>
      </c>
    </row>
    <row r="25" ht="17" customHeight="1">
      <c r="A25" s="9" t="n">
        <v>21</v>
      </c>
      <c r="B25" s="10">
        <f>IF(DAY(DATE(($C$2+0),4,21))=21,TEXT(DATE(($C$2+0),4,21),"aaa"),"")</f>
        <v/>
      </c>
      <c r="C25" s="11">
        <f>IF(DAY(DATE(($C$2+0),4,21))=21,IFERROR(VLOOKUP(DATE(($C$2+0),4,21),祝日!$A$2:$B$65,2,FALSE),""),"")</f>
        <v/>
      </c>
      <c r="D25" s="10">
        <f>IF(DAY(DATE(($C$2+0),5,21))=21,TEXT(DATE(($C$2+0),5,21),"aaa"),"")</f>
        <v/>
      </c>
      <c r="E25" s="11">
        <f>IF(DAY(DATE(($C$2+0),5,21))=21,IFERROR(VLOOKUP(DATE(($C$2+0),5,21),祝日!$A$2:$B$65,2,FALSE),""),"")</f>
        <v/>
      </c>
      <c r="F25" s="10">
        <f>IF(DAY(DATE(($C$2+0),6,21))=21,TEXT(DATE(($C$2+0),6,21),"aaa"),"")</f>
        <v/>
      </c>
      <c r="G25" s="11">
        <f>IF(DAY(DATE(($C$2+0),6,21))=21,IFERROR(VLOOKUP(DATE(($C$2+0),6,21),祝日!$A$2:$B$65,2,FALSE),""),"")</f>
        <v/>
      </c>
      <c r="H25" s="10">
        <f>IF(DAY(DATE(($C$2+0),7,21))=21,TEXT(DATE(($C$2+0),7,21),"aaa"),"")</f>
        <v/>
      </c>
      <c r="I25" s="11">
        <f>IF(DAY(DATE(($C$2+0),7,21))=21,IFERROR(VLOOKUP(DATE(($C$2+0),7,21),祝日!$A$2:$B$65,2,FALSE),""),"")</f>
        <v/>
      </c>
      <c r="J25" s="10">
        <f>IF(DAY(DATE(($C$2+0),8,21))=21,TEXT(DATE(($C$2+0),8,21),"aaa"),"")</f>
        <v/>
      </c>
      <c r="K25" s="11">
        <f>IF(DAY(DATE(($C$2+0),8,21))=21,IFERROR(VLOOKUP(DATE(($C$2+0),8,21),祝日!$A$2:$B$65,2,FALSE),""),"")</f>
        <v/>
      </c>
      <c r="L25" s="10">
        <f>IF(DAY(DATE(($C$2+0),9,21))=21,TEXT(DATE(($C$2+0),9,21),"aaa"),"")</f>
        <v/>
      </c>
      <c r="M25" s="11">
        <f>IF(DAY(DATE(($C$2+0),9,21))=21,IFERROR(VLOOKUP(DATE(($C$2+0),9,21),祝日!$A$2:$B$65,2,FALSE),""),"")</f>
        <v/>
      </c>
      <c r="N25" s="10">
        <f>IF(DAY(DATE(($C$2+0),10,21))=21,TEXT(DATE(($C$2+0),10,21),"aaa"),"")</f>
        <v/>
      </c>
      <c r="O25" s="11">
        <f>IF(DAY(DATE(($C$2+0),10,21))=21,IFERROR(VLOOKUP(DATE(($C$2+0),10,21),祝日!$A$2:$B$65,2,FALSE),""),"")</f>
        <v/>
      </c>
      <c r="P25" s="10">
        <f>IF(DAY(DATE(($C$2+0),11,21))=21,TEXT(DATE(($C$2+0),11,21),"aaa"),"")</f>
        <v/>
      </c>
      <c r="Q25" s="11">
        <f>IF(DAY(DATE(($C$2+0),11,21))=21,IFERROR(VLOOKUP(DATE(($C$2+0),11,21),祝日!$A$2:$B$65,2,FALSE),""),"")</f>
        <v/>
      </c>
      <c r="R25" s="10">
        <f>IF(DAY(DATE(($C$2+0),12,21))=21,TEXT(DATE(($C$2+0),12,21),"aaa"),"")</f>
        <v/>
      </c>
      <c r="S25" s="11">
        <f>IF(DAY(DATE(($C$2+0),12,21))=21,IFERROR(VLOOKUP(DATE(($C$2+0),12,21),祝日!$A$2:$B$65,2,FALSE),""),"")</f>
        <v/>
      </c>
      <c r="T25" s="10">
        <f>IF(DAY(DATE(($C$2+1),1,21))=21,TEXT(DATE(($C$2+1),1,21),"aaa"),"")</f>
        <v/>
      </c>
      <c r="U25" s="11">
        <f>IF(DAY(DATE(($C$2+1),1,21))=21,IFERROR(VLOOKUP(DATE(($C$2+1),1,21),祝日!$A$2:$B$65,2,FALSE),""),"")</f>
        <v/>
      </c>
      <c r="V25" s="10">
        <f>IF(DAY(DATE(($C$2+1),2,21))=21,TEXT(DATE(($C$2+1),2,21),"aaa"),"")</f>
        <v/>
      </c>
      <c r="W25" s="11">
        <f>IF(DAY(DATE(($C$2+1),2,21))=21,IFERROR(VLOOKUP(DATE(($C$2+1),2,21),祝日!$A$2:$B$65,2,FALSE),""),"")</f>
        <v/>
      </c>
      <c r="X25" s="10">
        <f>IF(DAY(DATE(($C$2+1),3,21))=21,TEXT(DATE(($C$2+1),3,21),"aaa"),"")</f>
        <v/>
      </c>
      <c r="Y25" s="11">
        <f>IF(DAY(DATE(($C$2+1),3,21))=21,IFERROR(VLOOKUP(DATE(($C$2+1),3,21),祝日!$A$2:$B$65,2,FALSE),""),"")</f>
        <v/>
      </c>
    </row>
    <row r="26" ht="17" customHeight="1">
      <c r="A26" s="9" t="n">
        <v>22</v>
      </c>
      <c r="B26" s="10">
        <f>IF(DAY(DATE(($C$2+0),4,22))=22,TEXT(DATE(($C$2+0),4,22),"aaa"),"")</f>
        <v/>
      </c>
      <c r="C26" s="11">
        <f>IF(DAY(DATE(($C$2+0),4,22))=22,IFERROR(VLOOKUP(DATE(($C$2+0),4,22),祝日!$A$2:$B$65,2,FALSE),""),"")</f>
        <v/>
      </c>
      <c r="D26" s="10">
        <f>IF(DAY(DATE(($C$2+0),5,22))=22,TEXT(DATE(($C$2+0),5,22),"aaa"),"")</f>
        <v/>
      </c>
      <c r="E26" s="11">
        <f>IF(DAY(DATE(($C$2+0),5,22))=22,IFERROR(VLOOKUP(DATE(($C$2+0),5,22),祝日!$A$2:$B$65,2,FALSE),""),"")</f>
        <v/>
      </c>
      <c r="F26" s="10">
        <f>IF(DAY(DATE(($C$2+0),6,22))=22,TEXT(DATE(($C$2+0),6,22),"aaa"),"")</f>
        <v/>
      </c>
      <c r="G26" s="11">
        <f>IF(DAY(DATE(($C$2+0),6,22))=22,IFERROR(VLOOKUP(DATE(($C$2+0),6,22),祝日!$A$2:$B$65,2,FALSE),""),"")</f>
        <v/>
      </c>
      <c r="H26" s="10">
        <f>IF(DAY(DATE(($C$2+0),7,22))=22,TEXT(DATE(($C$2+0),7,22),"aaa"),"")</f>
        <v/>
      </c>
      <c r="I26" s="11">
        <f>IF(DAY(DATE(($C$2+0),7,22))=22,IFERROR(VLOOKUP(DATE(($C$2+0),7,22),祝日!$A$2:$B$65,2,FALSE),""),"")</f>
        <v/>
      </c>
      <c r="J26" s="10">
        <f>IF(DAY(DATE(($C$2+0),8,22))=22,TEXT(DATE(($C$2+0),8,22),"aaa"),"")</f>
        <v/>
      </c>
      <c r="K26" s="11">
        <f>IF(DAY(DATE(($C$2+0),8,22))=22,IFERROR(VLOOKUP(DATE(($C$2+0),8,22),祝日!$A$2:$B$65,2,FALSE),""),"")</f>
        <v/>
      </c>
      <c r="L26" s="10">
        <f>IF(DAY(DATE(($C$2+0),9,22))=22,TEXT(DATE(($C$2+0),9,22),"aaa"),"")</f>
        <v/>
      </c>
      <c r="M26" s="11">
        <f>IF(DAY(DATE(($C$2+0),9,22))=22,IFERROR(VLOOKUP(DATE(($C$2+0),9,22),祝日!$A$2:$B$65,2,FALSE),""),"")</f>
        <v/>
      </c>
      <c r="N26" s="10">
        <f>IF(DAY(DATE(($C$2+0),10,22))=22,TEXT(DATE(($C$2+0),10,22),"aaa"),"")</f>
        <v/>
      </c>
      <c r="O26" s="11">
        <f>IF(DAY(DATE(($C$2+0),10,22))=22,IFERROR(VLOOKUP(DATE(($C$2+0),10,22),祝日!$A$2:$B$65,2,FALSE),""),"")</f>
        <v/>
      </c>
      <c r="P26" s="10">
        <f>IF(DAY(DATE(($C$2+0),11,22))=22,TEXT(DATE(($C$2+0),11,22),"aaa"),"")</f>
        <v/>
      </c>
      <c r="Q26" s="11">
        <f>IF(DAY(DATE(($C$2+0),11,22))=22,IFERROR(VLOOKUP(DATE(($C$2+0),11,22),祝日!$A$2:$B$65,2,FALSE),""),"")</f>
        <v/>
      </c>
      <c r="R26" s="10">
        <f>IF(DAY(DATE(($C$2+0),12,22))=22,TEXT(DATE(($C$2+0),12,22),"aaa"),"")</f>
        <v/>
      </c>
      <c r="S26" s="11">
        <f>IF(DAY(DATE(($C$2+0),12,22))=22,IFERROR(VLOOKUP(DATE(($C$2+0),12,22),祝日!$A$2:$B$65,2,FALSE),""),"")</f>
        <v/>
      </c>
      <c r="T26" s="10">
        <f>IF(DAY(DATE(($C$2+1),1,22))=22,TEXT(DATE(($C$2+1),1,22),"aaa"),"")</f>
        <v/>
      </c>
      <c r="U26" s="11">
        <f>IF(DAY(DATE(($C$2+1),1,22))=22,IFERROR(VLOOKUP(DATE(($C$2+1),1,22),祝日!$A$2:$B$65,2,FALSE),""),"")</f>
        <v/>
      </c>
      <c r="V26" s="10">
        <f>IF(DAY(DATE(($C$2+1),2,22))=22,TEXT(DATE(($C$2+1),2,22),"aaa"),"")</f>
        <v/>
      </c>
      <c r="W26" s="11">
        <f>IF(DAY(DATE(($C$2+1),2,22))=22,IFERROR(VLOOKUP(DATE(($C$2+1),2,22),祝日!$A$2:$B$65,2,FALSE),""),"")</f>
        <v/>
      </c>
      <c r="X26" s="10">
        <f>IF(DAY(DATE(($C$2+1),3,22))=22,TEXT(DATE(($C$2+1),3,22),"aaa"),"")</f>
        <v/>
      </c>
      <c r="Y26" s="11">
        <f>IF(DAY(DATE(($C$2+1),3,22))=22,IFERROR(VLOOKUP(DATE(($C$2+1),3,22),祝日!$A$2:$B$65,2,FALSE),""),"")</f>
        <v/>
      </c>
    </row>
    <row r="27" ht="17" customHeight="1">
      <c r="A27" s="9" t="n">
        <v>23</v>
      </c>
      <c r="B27" s="10">
        <f>IF(DAY(DATE(($C$2+0),4,23))=23,TEXT(DATE(($C$2+0),4,23),"aaa"),"")</f>
        <v/>
      </c>
      <c r="C27" s="11">
        <f>IF(DAY(DATE(($C$2+0),4,23))=23,IFERROR(VLOOKUP(DATE(($C$2+0),4,23),祝日!$A$2:$B$65,2,FALSE),""),"")</f>
        <v/>
      </c>
      <c r="D27" s="10">
        <f>IF(DAY(DATE(($C$2+0),5,23))=23,TEXT(DATE(($C$2+0),5,23),"aaa"),"")</f>
        <v/>
      </c>
      <c r="E27" s="11">
        <f>IF(DAY(DATE(($C$2+0),5,23))=23,IFERROR(VLOOKUP(DATE(($C$2+0),5,23),祝日!$A$2:$B$65,2,FALSE),""),"")</f>
        <v/>
      </c>
      <c r="F27" s="10">
        <f>IF(DAY(DATE(($C$2+0),6,23))=23,TEXT(DATE(($C$2+0),6,23),"aaa"),"")</f>
        <v/>
      </c>
      <c r="G27" s="11">
        <f>IF(DAY(DATE(($C$2+0),6,23))=23,IFERROR(VLOOKUP(DATE(($C$2+0),6,23),祝日!$A$2:$B$65,2,FALSE),""),"")</f>
        <v/>
      </c>
      <c r="H27" s="10">
        <f>IF(DAY(DATE(($C$2+0),7,23))=23,TEXT(DATE(($C$2+0),7,23),"aaa"),"")</f>
        <v/>
      </c>
      <c r="I27" s="11">
        <f>IF(DAY(DATE(($C$2+0),7,23))=23,IFERROR(VLOOKUP(DATE(($C$2+0),7,23),祝日!$A$2:$B$65,2,FALSE),""),"")</f>
        <v/>
      </c>
      <c r="J27" s="10">
        <f>IF(DAY(DATE(($C$2+0),8,23))=23,TEXT(DATE(($C$2+0),8,23),"aaa"),"")</f>
        <v/>
      </c>
      <c r="K27" s="11">
        <f>IF(DAY(DATE(($C$2+0),8,23))=23,IFERROR(VLOOKUP(DATE(($C$2+0),8,23),祝日!$A$2:$B$65,2,FALSE),""),"")</f>
        <v/>
      </c>
      <c r="L27" s="10">
        <f>IF(DAY(DATE(($C$2+0),9,23))=23,TEXT(DATE(($C$2+0),9,23),"aaa"),"")</f>
        <v/>
      </c>
      <c r="M27" s="11">
        <f>IF(DAY(DATE(($C$2+0),9,23))=23,IFERROR(VLOOKUP(DATE(($C$2+0),9,23),祝日!$A$2:$B$65,2,FALSE),""),"")</f>
        <v/>
      </c>
      <c r="N27" s="10">
        <f>IF(DAY(DATE(($C$2+0),10,23))=23,TEXT(DATE(($C$2+0),10,23),"aaa"),"")</f>
        <v/>
      </c>
      <c r="O27" s="11">
        <f>IF(DAY(DATE(($C$2+0),10,23))=23,IFERROR(VLOOKUP(DATE(($C$2+0),10,23),祝日!$A$2:$B$65,2,FALSE),""),"")</f>
        <v/>
      </c>
      <c r="P27" s="10">
        <f>IF(DAY(DATE(($C$2+0),11,23))=23,TEXT(DATE(($C$2+0),11,23),"aaa"),"")</f>
        <v/>
      </c>
      <c r="Q27" s="11">
        <f>IF(DAY(DATE(($C$2+0),11,23))=23,IFERROR(VLOOKUP(DATE(($C$2+0),11,23),祝日!$A$2:$B$65,2,FALSE),""),"")</f>
        <v/>
      </c>
      <c r="R27" s="10">
        <f>IF(DAY(DATE(($C$2+0),12,23))=23,TEXT(DATE(($C$2+0),12,23),"aaa"),"")</f>
        <v/>
      </c>
      <c r="S27" s="12" t="inlineStr">
        <is>
          <t>終業式</t>
        </is>
      </c>
      <c r="T27" s="10">
        <f>IF(DAY(DATE(($C$2+1),1,23))=23,TEXT(DATE(($C$2+1),1,23),"aaa"),"")</f>
        <v/>
      </c>
      <c r="U27" s="11">
        <f>IF(DAY(DATE(($C$2+1),1,23))=23,IFERROR(VLOOKUP(DATE(($C$2+1),1,23),祝日!$A$2:$B$65,2,FALSE),""),"")</f>
        <v/>
      </c>
      <c r="V27" s="10">
        <f>IF(DAY(DATE(($C$2+1),2,23))=23,TEXT(DATE(($C$2+1),2,23),"aaa"),"")</f>
        <v/>
      </c>
      <c r="W27" s="11">
        <f>IF(DAY(DATE(($C$2+1),2,23))=23,IFERROR(VLOOKUP(DATE(($C$2+1),2,23),祝日!$A$2:$B$65,2,FALSE),""),"")</f>
        <v/>
      </c>
      <c r="X27" s="10">
        <f>IF(DAY(DATE(($C$2+1),3,23))=23,TEXT(DATE(($C$2+1),3,23),"aaa"),"")</f>
        <v/>
      </c>
      <c r="Y27" s="11">
        <f>IF(DAY(DATE(($C$2+1),3,23))=23,IFERROR(VLOOKUP(DATE(($C$2+1),3,23),祝日!$A$2:$B$65,2,FALSE),""),"")</f>
        <v/>
      </c>
    </row>
    <row r="28" ht="17" customHeight="1">
      <c r="A28" s="9" t="n">
        <v>24</v>
      </c>
      <c r="B28" s="10">
        <f>IF(DAY(DATE(($C$2+0),4,24))=24,TEXT(DATE(($C$2+0),4,24),"aaa"),"")</f>
        <v/>
      </c>
      <c r="C28" s="11">
        <f>IF(DAY(DATE(($C$2+0),4,24))=24,IFERROR(VLOOKUP(DATE(($C$2+0),4,24),祝日!$A$2:$B$65,2,FALSE),""),"")</f>
        <v/>
      </c>
      <c r="D28" s="10">
        <f>IF(DAY(DATE(($C$2+0),5,24))=24,TEXT(DATE(($C$2+0),5,24),"aaa"),"")</f>
        <v/>
      </c>
      <c r="E28" s="11">
        <f>IF(DAY(DATE(($C$2+0),5,24))=24,IFERROR(VLOOKUP(DATE(($C$2+0),5,24),祝日!$A$2:$B$65,2,FALSE),""),"")</f>
        <v/>
      </c>
      <c r="F28" s="10">
        <f>IF(DAY(DATE(($C$2+0),6,24))=24,TEXT(DATE(($C$2+0),6,24),"aaa"),"")</f>
        <v/>
      </c>
      <c r="G28" s="12" t="inlineStr">
        <is>
          <t>個人面談</t>
        </is>
      </c>
      <c r="H28" s="10">
        <f>IF(DAY(DATE(($C$2+0),7,24))=24,TEXT(DATE(($C$2+0),7,24),"aaa"),"")</f>
        <v/>
      </c>
      <c r="I28" s="11">
        <f>IF(DAY(DATE(($C$2+0),7,24))=24,IFERROR(VLOOKUP(DATE(($C$2+0),7,24),祝日!$A$2:$B$65,2,FALSE),""),"")</f>
        <v/>
      </c>
      <c r="J28" s="10">
        <f>IF(DAY(DATE(($C$2+0),8,24))=24,TEXT(DATE(($C$2+0),8,24),"aaa"),"")</f>
        <v/>
      </c>
      <c r="K28" s="11">
        <f>IF(DAY(DATE(($C$2+0),8,24))=24,IFERROR(VLOOKUP(DATE(($C$2+0),8,24),祝日!$A$2:$B$65,2,FALSE),""),"")</f>
        <v/>
      </c>
      <c r="L28" s="10">
        <f>IF(DAY(DATE(($C$2+0),9,24))=24,TEXT(DATE(($C$2+0),9,24),"aaa"),"")</f>
        <v/>
      </c>
      <c r="M28" s="11">
        <f>IF(DAY(DATE(($C$2+0),9,24))=24,IFERROR(VLOOKUP(DATE(($C$2+0),9,24),祝日!$A$2:$B$65,2,FALSE),""),"")</f>
        <v/>
      </c>
      <c r="N28" s="10">
        <f>IF(DAY(DATE(($C$2+0),10,24))=24,TEXT(DATE(($C$2+0),10,24),"aaa"),"")</f>
        <v/>
      </c>
      <c r="O28" s="11">
        <f>IF(DAY(DATE(($C$2+0),10,24))=24,IFERROR(VLOOKUP(DATE(($C$2+0),10,24),祝日!$A$2:$B$65,2,FALSE),""),"")</f>
        <v/>
      </c>
      <c r="P28" s="10">
        <f>IF(DAY(DATE(($C$2+0),11,24))=24,TEXT(DATE(($C$2+0),11,24),"aaa"),"")</f>
        <v/>
      </c>
      <c r="Q28" s="11">
        <f>IF(DAY(DATE(($C$2+0),11,24))=24,IFERROR(VLOOKUP(DATE(($C$2+0),11,24),祝日!$A$2:$B$65,2,FALSE),""),"")</f>
        <v/>
      </c>
      <c r="R28" s="10">
        <f>IF(DAY(DATE(($C$2+0),12,24))=24,TEXT(DATE(($C$2+0),12,24),"aaa"),"")</f>
        <v/>
      </c>
      <c r="S28" s="11">
        <f>IF(DAY(DATE(($C$2+0),12,24))=24,IFERROR(VLOOKUP(DATE(($C$2+0),12,24),祝日!$A$2:$B$65,2,FALSE),""),"")</f>
        <v/>
      </c>
      <c r="T28" s="10">
        <f>IF(DAY(DATE(($C$2+1),1,24))=24,TEXT(DATE(($C$2+1),1,24),"aaa"),"")</f>
        <v/>
      </c>
      <c r="U28" s="11">
        <f>IF(DAY(DATE(($C$2+1),1,24))=24,IFERROR(VLOOKUP(DATE(($C$2+1),1,24),祝日!$A$2:$B$65,2,FALSE),""),"")</f>
        <v/>
      </c>
      <c r="V28" s="10">
        <f>IF(DAY(DATE(($C$2+1),2,24))=24,TEXT(DATE(($C$2+1),2,24),"aaa"),"")</f>
        <v/>
      </c>
      <c r="W28" s="11">
        <f>IF(DAY(DATE(($C$2+1),2,24))=24,IFERROR(VLOOKUP(DATE(($C$2+1),2,24),祝日!$A$2:$B$65,2,FALSE),""),"")</f>
        <v/>
      </c>
      <c r="X28" s="10">
        <f>IF(DAY(DATE(($C$2+1),3,24))=24,TEXT(DATE(($C$2+1),3,24),"aaa"),"")</f>
        <v/>
      </c>
      <c r="Y28" s="12" t="inlineStr">
        <is>
          <t>修了式</t>
        </is>
      </c>
    </row>
    <row r="29" ht="17" customHeight="1">
      <c r="A29" s="9" t="n">
        <v>25</v>
      </c>
      <c r="B29" s="10">
        <f>IF(DAY(DATE(($C$2+0),4,25))=25,TEXT(DATE(($C$2+0),4,25),"aaa"),"")</f>
        <v/>
      </c>
      <c r="C29" s="11">
        <f>IF(DAY(DATE(($C$2+0),4,25))=25,IFERROR(VLOOKUP(DATE(($C$2+0),4,25),祝日!$A$2:$B$65,2,FALSE),""),"")</f>
        <v/>
      </c>
      <c r="D29" s="10">
        <f>IF(DAY(DATE(($C$2+0),5,25))=25,TEXT(DATE(($C$2+0),5,25),"aaa"),"")</f>
        <v/>
      </c>
      <c r="E29" s="11">
        <f>IF(DAY(DATE(($C$2+0),5,25))=25,IFERROR(VLOOKUP(DATE(($C$2+0),5,25),祝日!$A$2:$B$65,2,FALSE),""),"")</f>
        <v/>
      </c>
      <c r="F29" s="10">
        <f>IF(DAY(DATE(($C$2+0),6,25))=25,TEXT(DATE(($C$2+0),6,25),"aaa"),"")</f>
        <v/>
      </c>
      <c r="G29" s="11">
        <f>IF(DAY(DATE(($C$2+0),6,25))=25,IFERROR(VLOOKUP(DATE(($C$2+0),6,25),祝日!$A$2:$B$65,2,FALSE),""),"")</f>
        <v/>
      </c>
      <c r="H29" s="10">
        <f>IF(DAY(DATE(($C$2+0),7,25))=25,TEXT(DATE(($C$2+0),7,25),"aaa"),"")</f>
        <v/>
      </c>
      <c r="I29" s="11">
        <f>IF(DAY(DATE(($C$2+0),7,25))=25,IFERROR(VLOOKUP(DATE(($C$2+0),7,25),祝日!$A$2:$B$65,2,FALSE),""),"")</f>
        <v/>
      </c>
      <c r="J29" s="10">
        <f>IF(DAY(DATE(($C$2+0),8,25))=25,TEXT(DATE(($C$2+0),8,25),"aaa"),"")</f>
        <v/>
      </c>
      <c r="K29" s="12" t="inlineStr">
        <is>
          <t>始業式</t>
        </is>
      </c>
      <c r="L29" s="10">
        <f>IF(DAY(DATE(($C$2+0),9,25))=25,TEXT(DATE(($C$2+0),9,25),"aaa"),"")</f>
        <v/>
      </c>
      <c r="M29" s="11">
        <f>IF(DAY(DATE(($C$2+0),9,25))=25,IFERROR(VLOOKUP(DATE(($C$2+0),9,25),祝日!$A$2:$B$65,2,FALSE),""),"")</f>
        <v/>
      </c>
      <c r="N29" s="10">
        <f>IF(DAY(DATE(($C$2+0),10,25))=25,TEXT(DATE(($C$2+0),10,25),"aaa"),"")</f>
        <v/>
      </c>
      <c r="O29" s="11">
        <f>IF(DAY(DATE(($C$2+0),10,25))=25,IFERROR(VLOOKUP(DATE(($C$2+0),10,25),祝日!$A$2:$B$65,2,FALSE),""),"")</f>
        <v/>
      </c>
      <c r="P29" s="10">
        <f>IF(DAY(DATE(($C$2+0),11,25))=25,TEXT(DATE(($C$2+0),11,25),"aaa"),"")</f>
        <v/>
      </c>
      <c r="Q29" s="11">
        <f>IF(DAY(DATE(($C$2+0),11,25))=25,IFERROR(VLOOKUP(DATE(($C$2+0),11,25),祝日!$A$2:$B$65,2,FALSE),""),"")</f>
        <v/>
      </c>
      <c r="R29" s="10">
        <f>IF(DAY(DATE(($C$2+0),12,25))=25,TEXT(DATE(($C$2+0),12,25),"aaa"),"")</f>
        <v/>
      </c>
      <c r="S29" s="11">
        <f>IF(DAY(DATE(($C$2+0),12,25))=25,IFERROR(VLOOKUP(DATE(($C$2+0),12,25),祝日!$A$2:$B$65,2,FALSE),""),"")</f>
        <v/>
      </c>
      <c r="T29" s="10">
        <f>IF(DAY(DATE(($C$2+1),1,25))=25,TEXT(DATE(($C$2+1),1,25),"aaa"),"")</f>
        <v/>
      </c>
      <c r="U29" s="11">
        <f>IF(DAY(DATE(($C$2+1),1,25))=25,IFERROR(VLOOKUP(DATE(($C$2+1),1,25),祝日!$A$2:$B$65,2,FALSE),""),"")</f>
        <v/>
      </c>
      <c r="V29" s="10">
        <f>IF(DAY(DATE(($C$2+1),2,25))=25,TEXT(DATE(($C$2+1),2,25),"aaa"),"")</f>
        <v/>
      </c>
      <c r="W29" s="11">
        <f>IF(DAY(DATE(($C$2+1),2,25))=25,IFERROR(VLOOKUP(DATE(($C$2+1),2,25),祝日!$A$2:$B$65,2,FALSE),""),"")</f>
        <v/>
      </c>
      <c r="X29" s="10">
        <f>IF(DAY(DATE(($C$2+1),3,25))=25,TEXT(DATE(($C$2+1),3,25),"aaa"),"")</f>
        <v/>
      </c>
      <c r="Y29" s="11">
        <f>IF(DAY(DATE(($C$2+1),3,25))=25,IFERROR(VLOOKUP(DATE(($C$2+1),3,25),祝日!$A$2:$B$65,2,FALSE),""),"")</f>
        <v/>
      </c>
    </row>
    <row r="30" ht="17" customHeight="1">
      <c r="A30" s="9" t="n">
        <v>26</v>
      </c>
      <c r="B30" s="10">
        <f>IF(DAY(DATE(($C$2+0),4,26))=26,TEXT(DATE(($C$2+0),4,26),"aaa"),"")</f>
        <v/>
      </c>
      <c r="C30" s="11">
        <f>IF(DAY(DATE(($C$2+0),4,26))=26,IFERROR(VLOOKUP(DATE(($C$2+0),4,26),祝日!$A$2:$B$65,2,FALSE),""),"")</f>
        <v/>
      </c>
      <c r="D30" s="10">
        <f>IF(DAY(DATE(($C$2+0),5,26))=26,TEXT(DATE(($C$2+0),5,26),"aaa"),"")</f>
        <v/>
      </c>
      <c r="E30" s="11">
        <f>IF(DAY(DATE(($C$2+0),5,26))=26,IFERROR(VLOOKUP(DATE(($C$2+0),5,26),祝日!$A$2:$B$65,2,FALSE),""),"")</f>
        <v/>
      </c>
      <c r="F30" s="10">
        <f>IF(DAY(DATE(($C$2+0),6,26))=26,TEXT(DATE(($C$2+0),6,26),"aaa"),"")</f>
        <v/>
      </c>
      <c r="G30" s="11">
        <f>IF(DAY(DATE(($C$2+0),6,26))=26,IFERROR(VLOOKUP(DATE(($C$2+0),6,26),祝日!$A$2:$B$65,2,FALSE),""),"")</f>
        <v/>
      </c>
      <c r="H30" s="10">
        <f>IF(DAY(DATE(($C$2+0),7,26))=26,TEXT(DATE(($C$2+0),7,26),"aaa"),"")</f>
        <v/>
      </c>
      <c r="I30" s="11">
        <f>IF(DAY(DATE(($C$2+0),7,26))=26,IFERROR(VLOOKUP(DATE(($C$2+0),7,26),祝日!$A$2:$B$65,2,FALSE),""),"")</f>
        <v/>
      </c>
      <c r="J30" s="10">
        <f>IF(DAY(DATE(($C$2+0),8,26))=26,TEXT(DATE(($C$2+0),8,26),"aaa"),"")</f>
        <v/>
      </c>
      <c r="K30" s="11">
        <f>IF(DAY(DATE(($C$2+0),8,26))=26,IFERROR(VLOOKUP(DATE(($C$2+0),8,26),祝日!$A$2:$B$65,2,FALSE),""),"")</f>
        <v/>
      </c>
      <c r="L30" s="10">
        <f>IF(DAY(DATE(($C$2+0),9,26))=26,TEXT(DATE(($C$2+0),9,26),"aaa"),"")</f>
        <v/>
      </c>
      <c r="M30" s="11">
        <f>IF(DAY(DATE(($C$2+0),9,26))=26,IFERROR(VLOOKUP(DATE(($C$2+0),9,26),祝日!$A$2:$B$65,2,FALSE),""),"")</f>
        <v/>
      </c>
      <c r="N30" s="10">
        <f>IF(DAY(DATE(($C$2+0),10,26))=26,TEXT(DATE(($C$2+0),10,26),"aaa"),"")</f>
        <v/>
      </c>
      <c r="O30" s="11">
        <f>IF(DAY(DATE(($C$2+0),10,26))=26,IFERROR(VLOOKUP(DATE(($C$2+0),10,26),祝日!$A$2:$B$65,2,FALSE),""),"")</f>
        <v/>
      </c>
      <c r="P30" s="10">
        <f>IF(DAY(DATE(($C$2+0),11,26))=26,TEXT(DATE(($C$2+0),11,26),"aaa"),"")</f>
        <v/>
      </c>
      <c r="Q30" s="11">
        <f>IF(DAY(DATE(($C$2+0),11,26))=26,IFERROR(VLOOKUP(DATE(($C$2+0),11,26),祝日!$A$2:$B$65,2,FALSE),""),"")</f>
        <v/>
      </c>
      <c r="R30" s="10">
        <f>IF(DAY(DATE(($C$2+0),12,26))=26,TEXT(DATE(($C$2+0),12,26),"aaa"),"")</f>
        <v/>
      </c>
      <c r="S30" s="11">
        <f>IF(DAY(DATE(($C$2+0),12,26))=26,IFERROR(VLOOKUP(DATE(($C$2+0),12,26),祝日!$A$2:$B$65,2,FALSE),""),"")</f>
        <v/>
      </c>
      <c r="T30" s="10">
        <f>IF(DAY(DATE(($C$2+1),1,26))=26,TEXT(DATE(($C$2+1),1,26),"aaa"),"")</f>
        <v/>
      </c>
      <c r="U30" s="11">
        <f>IF(DAY(DATE(($C$2+1),1,26))=26,IFERROR(VLOOKUP(DATE(($C$2+1),1,26),祝日!$A$2:$B$65,2,FALSE),""),"")</f>
        <v/>
      </c>
      <c r="V30" s="10">
        <f>IF(DAY(DATE(($C$2+1),2,26))=26,TEXT(DATE(($C$2+1),2,26),"aaa"),"")</f>
        <v/>
      </c>
      <c r="W30" s="11">
        <f>IF(DAY(DATE(($C$2+1),2,26))=26,IFERROR(VLOOKUP(DATE(($C$2+1),2,26),祝日!$A$2:$B$65,2,FALSE),""),"")</f>
        <v/>
      </c>
      <c r="X30" s="10">
        <f>IF(DAY(DATE(($C$2+1),3,26))=26,TEXT(DATE(($C$2+1),3,26),"aaa"),"")</f>
        <v/>
      </c>
      <c r="Y30" s="11">
        <f>IF(DAY(DATE(($C$2+1),3,26))=26,IFERROR(VLOOKUP(DATE(($C$2+1),3,26),祝日!$A$2:$B$65,2,FALSE),""),"")</f>
        <v/>
      </c>
    </row>
    <row r="31" ht="17" customHeight="1">
      <c r="A31" s="9" t="n">
        <v>27</v>
      </c>
      <c r="B31" s="10">
        <f>IF(DAY(DATE(($C$2+0),4,27))=27,TEXT(DATE(($C$2+0),4,27),"aaa"),"")</f>
        <v/>
      </c>
      <c r="C31" s="11">
        <f>IF(DAY(DATE(($C$2+0),4,27))=27,IFERROR(VLOOKUP(DATE(($C$2+0),4,27),祝日!$A$2:$B$65,2,FALSE),""),"")</f>
        <v/>
      </c>
      <c r="D31" s="10">
        <f>IF(DAY(DATE(($C$2+0),5,27))=27,TEXT(DATE(($C$2+0),5,27),"aaa"),"")</f>
        <v/>
      </c>
      <c r="E31" s="11">
        <f>IF(DAY(DATE(($C$2+0),5,27))=27,IFERROR(VLOOKUP(DATE(($C$2+0),5,27),祝日!$A$2:$B$65,2,FALSE),""),"")</f>
        <v/>
      </c>
      <c r="F31" s="10">
        <f>IF(DAY(DATE(($C$2+0),6,27))=27,TEXT(DATE(($C$2+0),6,27),"aaa"),"")</f>
        <v/>
      </c>
      <c r="G31" s="11">
        <f>IF(DAY(DATE(($C$2+0),6,27))=27,IFERROR(VLOOKUP(DATE(($C$2+0),6,27),祝日!$A$2:$B$65,2,FALSE),""),"")</f>
        <v/>
      </c>
      <c r="H31" s="10">
        <f>IF(DAY(DATE(($C$2+0),7,27))=27,TEXT(DATE(($C$2+0),7,27),"aaa"),"")</f>
        <v/>
      </c>
      <c r="I31" s="11">
        <f>IF(DAY(DATE(($C$2+0),7,27))=27,IFERROR(VLOOKUP(DATE(($C$2+0),7,27),祝日!$A$2:$B$65,2,FALSE),""),"")</f>
        <v/>
      </c>
      <c r="J31" s="10">
        <f>IF(DAY(DATE(($C$2+0),8,27))=27,TEXT(DATE(($C$2+0),8,27),"aaa"),"")</f>
        <v/>
      </c>
      <c r="K31" s="11">
        <f>IF(DAY(DATE(($C$2+0),8,27))=27,IFERROR(VLOOKUP(DATE(($C$2+0),8,27),祝日!$A$2:$B$65,2,FALSE),""),"")</f>
        <v/>
      </c>
      <c r="L31" s="10">
        <f>IF(DAY(DATE(($C$2+0),9,27))=27,TEXT(DATE(($C$2+0),9,27),"aaa"),"")</f>
        <v/>
      </c>
      <c r="M31" s="11">
        <f>IF(DAY(DATE(($C$2+0),9,27))=27,IFERROR(VLOOKUP(DATE(($C$2+0),9,27),祝日!$A$2:$B$65,2,FALSE),""),"")</f>
        <v/>
      </c>
      <c r="N31" s="10">
        <f>IF(DAY(DATE(($C$2+0),10,27))=27,TEXT(DATE(($C$2+0),10,27),"aaa"),"")</f>
        <v/>
      </c>
      <c r="O31" s="11">
        <f>IF(DAY(DATE(($C$2+0),10,27))=27,IFERROR(VLOOKUP(DATE(($C$2+0),10,27),祝日!$A$2:$B$65,2,FALSE),""),"")</f>
        <v/>
      </c>
      <c r="P31" s="10">
        <f>IF(DAY(DATE(($C$2+0),11,27))=27,TEXT(DATE(($C$2+0),11,27),"aaa"),"")</f>
        <v/>
      </c>
      <c r="Q31" s="12" t="inlineStr">
        <is>
          <t>持久走大会</t>
        </is>
      </c>
      <c r="R31" s="10">
        <f>IF(DAY(DATE(($C$2+0),12,27))=27,TEXT(DATE(($C$2+0),12,27),"aaa"),"")</f>
        <v/>
      </c>
      <c r="S31" s="11">
        <f>IF(DAY(DATE(($C$2+0),12,27))=27,IFERROR(VLOOKUP(DATE(($C$2+0),12,27),祝日!$A$2:$B$65,2,FALSE),""),"")</f>
        <v/>
      </c>
      <c r="T31" s="10">
        <f>IF(DAY(DATE(($C$2+1),1,27))=27,TEXT(DATE(($C$2+1),1,27),"aaa"),"")</f>
        <v/>
      </c>
      <c r="U31" s="11">
        <f>IF(DAY(DATE(($C$2+1),1,27))=27,IFERROR(VLOOKUP(DATE(($C$2+1),1,27),祝日!$A$2:$B$65,2,FALSE),""),"")</f>
        <v/>
      </c>
      <c r="V31" s="10">
        <f>IF(DAY(DATE(($C$2+1),2,27))=27,TEXT(DATE(($C$2+1),2,27),"aaa"),"")</f>
        <v/>
      </c>
      <c r="W31" s="11">
        <f>IF(DAY(DATE(($C$2+1),2,27))=27,IFERROR(VLOOKUP(DATE(($C$2+1),2,27),祝日!$A$2:$B$65,2,FALSE),""),"")</f>
        <v/>
      </c>
      <c r="X31" s="10">
        <f>IF(DAY(DATE(($C$2+1),3,27))=27,TEXT(DATE(($C$2+1),3,27),"aaa"),"")</f>
        <v/>
      </c>
      <c r="Y31" s="11">
        <f>IF(DAY(DATE(($C$2+1),3,27))=27,IFERROR(VLOOKUP(DATE(($C$2+1),3,27),祝日!$A$2:$B$65,2,FALSE),""),"")</f>
        <v/>
      </c>
    </row>
    <row r="32" ht="17" customHeight="1">
      <c r="A32" s="9" t="n">
        <v>28</v>
      </c>
      <c r="B32" s="10">
        <f>IF(DAY(DATE(($C$2+0),4,28))=28,TEXT(DATE(($C$2+0),4,28),"aaa"),"")</f>
        <v/>
      </c>
      <c r="C32" s="11">
        <f>IF(DAY(DATE(($C$2+0),4,28))=28,IFERROR(VLOOKUP(DATE(($C$2+0),4,28),祝日!$A$2:$B$65,2,FALSE),""),"")</f>
        <v/>
      </c>
      <c r="D32" s="10">
        <f>IF(DAY(DATE(($C$2+0),5,28))=28,TEXT(DATE(($C$2+0),5,28),"aaa"),"")</f>
        <v/>
      </c>
      <c r="E32" s="11">
        <f>IF(DAY(DATE(($C$2+0),5,28))=28,IFERROR(VLOOKUP(DATE(($C$2+0),5,28),祝日!$A$2:$B$65,2,FALSE),""),"")</f>
        <v/>
      </c>
      <c r="F32" s="10">
        <f>IF(DAY(DATE(($C$2+0),6,28))=28,TEXT(DATE(($C$2+0),6,28),"aaa"),"")</f>
        <v/>
      </c>
      <c r="G32" s="11">
        <f>IF(DAY(DATE(($C$2+0),6,28))=28,IFERROR(VLOOKUP(DATE(($C$2+0),6,28),祝日!$A$2:$B$65,2,FALSE),""),"")</f>
        <v/>
      </c>
      <c r="H32" s="10">
        <f>IF(DAY(DATE(($C$2+0),7,28))=28,TEXT(DATE(($C$2+0),7,28),"aaa"),"")</f>
        <v/>
      </c>
      <c r="I32" s="11">
        <f>IF(DAY(DATE(($C$2+0),7,28))=28,IFERROR(VLOOKUP(DATE(($C$2+0),7,28),祝日!$A$2:$B$65,2,FALSE),""),"")</f>
        <v/>
      </c>
      <c r="J32" s="10">
        <f>IF(DAY(DATE(($C$2+0),8,28))=28,TEXT(DATE(($C$2+0),8,28),"aaa"),"")</f>
        <v/>
      </c>
      <c r="K32" s="11">
        <f>IF(DAY(DATE(($C$2+0),8,28))=28,IFERROR(VLOOKUP(DATE(($C$2+0),8,28),祝日!$A$2:$B$65,2,FALSE),""),"")</f>
        <v/>
      </c>
      <c r="L32" s="10">
        <f>IF(DAY(DATE(($C$2+0),9,28))=28,TEXT(DATE(($C$2+0),9,28),"aaa"),"")</f>
        <v/>
      </c>
      <c r="M32" s="11">
        <f>IF(DAY(DATE(($C$2+0),9,28))=28,IFERROR(VLOOKUP(DATE(($C$2+0),9,28),祝日!$A$2:$B$65,2,FALSE),""),"")</f>
        <v/>
      </c>
      <c r="N32" s="10">
        <f>IF(DAY(DATE(($C$2+0),10,28))=28,TEXT(DATE(($C$2+0),10,28),"aaa"),"")</f>
        <v/>
      </c>
      <c r="O32" s="11">
        <f>IF(DAY(DATE(($C$2+0),10,28))=28,IFERROR(VLOOKUP(DATE(($C$2+0),10,28),祝日!$A$2:$B$65,2,FALSE),""),"")</f>
        <v/>
      </c>
      <c r="P32" s="10">
        <f>IF(DAY(DATE(($C$2+0),11,28))=28,TEXT(DATE(($C$2+0),11,28),"aaa"),"")</f>
        <v/>
      </c>
      <c r="Q32" s="11">
        <f>IF(DAY(DATE(($C$2+0),11,28))=28,IFERROR(VLOOKUP(DATE(($C$2+0),11,28),祝日!$A$2:$B$65,2,FALSE),""),"")</f>
        <v/>
      </c>
      <c r="R32" s="10">
        <f>IF(DAY(DATE(($C$2+0),12,28))=28,TEXT(DATE(($C$2+0),12,28),"aaa"),"")</f>
        <v/>
      </c>
      <c r="S32" s="11">
        <f>IF(DAY(DATE(($C$2+0),12,28))=28,IFERROR(VLOOKUP(DATE(($C$2+0),12,28),祝日!$A$2:$B$65,2,FALSE),""),"")</f>
        <v/>
      </c>
      <c r="T32" s="10">
        <f>IF(DAY(DATE(($C$2+1),1,28))=28,TEXT(DATE(($C$2+1),1,28),"aaa"),"")</f>
        <v/>
      </c>
      <c r="U32" s="11">
        <f>IF(DAY(DATE(($C$2+1),1,28))=28,IFERROR(VLOOKUP(DATE(($C$2+1),1,28),祝日!$A$2:$B$65,2,FALSE),""),"")</f>
        <v/>
      </c>
      <c r="V32" s="10">
        <f>IF(DAY(DATE(($C$2+1),2,28))=28,TEXT(DATE(($C$2+1),2,28),"aaa"),"")</f>
        <v/>
      </c>
      <c r="W32" s="11">
        <f>IF(DAY(DATE(($C$2+1),2,28))=28,IFERROR(VLOOKUP(DATE(($C$2+1),2,28),祝日!$A$2:$B$65,2,FALSE),""),"")</f>
        <v/>
      </c>
      <c r="X32" s="10">
        <f>IF(DAY(DATE(($C$2+1),3,28))=28,TEXT(DATE(($C$2+1),3,28),"aaa"),"")</f>
        <v/>
      </c>
      <c r="Y32" s="11">
        <f>IF(DAY(DATE(($C$2+1),3,28))=28,IFERROR(VLOOKUP(DATE(($C$2+1),3,28),祝日!$A$2:$B$65,2,FALSE),""),"")</f>
        <v/>
      </c>
    </row>
    <row r="33" ht="17" customHeight="1">
      <c r="A33" s="9" t="n">
        <v>29</v>
      </c>
      <c r="B33" s="10">
        <f>IF(DAY(DATE(($C$2+0),4,29))=29,TEXT(DATE(($C$2+0),4,29),"aaa"),"")</f>
        <v/>
      </c>
      <c r="C33" s="11">
        <f>IF(DAY(DATE(($C$2+0),4,29))=29,IFERROR(VLOOKUP(DATE(($C$2+0),4,29),祝日!$A$2:$B$65,2,FALSE),""),"")</f>
        <v/>
      </c>
      <c r="D33" s="10">
        <f>IF(DAY(DATE(($C$2+0),5,29))=29,TEXT(DATE(($C$2+0),5,29),"aaa"),"")</f>
        <v/>
      </c>
      <c r="E33" s="12" t="inlineStr">
        <is>
          <t>運動会(予備日 6/1)</t>
        </is>
      </c>
      <c r="F33" s="10">
        <f>IF(DAY(DATE(($C$2+0),6,29))=29,TEXT(DATE(($C$2+0),6,29),"aaa"),"")</f>
        <v/>
      </c>
      <c r="G33" s="11">
        <f>IF(DAY(DATE(($C$2+0),6,29))=29,IFERROR(VLOOKUP(DATE(($C$2+0),6,29),祝日!$A$2:$B$65,2,FALSE),""),"")</f>
        <v/>
      </c>
      <c r="H33" s="10">
        <f>IF(DAY(DATE(($C$2+0),7,29))=29,TEXT(DATE(($C$2+0),7,29),"aaa"),"")</f>
        <v/>
      </c>
      <c r="I33" s="11">
        <f>IF(DAY(DATE(($C$2+0),7,29))=29,IFERROR(VLOOKUP(DATE(($C$2+0),7,29),祝日!$A$2:$B$65,2,FALSE),""),"")</f>
        <v/>
      </c>
      <c r="J33" s="10">
        <f>IF(DAY(DATE(($C$2+0),8,29))=29,TEXT(DATE(($C$2+0),8,29),"aaa"),"")</f>
        <v/>
      </c>
      <c r="K33" s="11">
        <f>IF(DAY(DATE(($C$2+0),8,29))=29,IFERROR(VLOOKUP(DATE(($C$2+0),8,29),祝日!$A$2:$B$65,2,FALSE),""),"")</f>
        <v/>
      </c>
      <c r="L33" s="10">
        <f>IF(DAY(DATE(($C$2+0),9,29))=29,TEXT(DATE(($C$2+0),9,29),"aaa"),"")</f>
        <v/>
      </c>
      <c r="M33" s="11">
        <f>IF(DAY(DATE(($C$2+0),9,29))=29,IFERROR(VLOOKUP(DATE(($C$2+0),9,29),祝日!$A$2:$B$65,2,FALSE),""),"")</f>
        <v/>
      </c>
      <c r="N33" s="10">
        <f>IF(DAY(DATE(($C$2+0),10,29))=29,TEXT(DATE(($C$2+0),10,29),"aaa"),"")</f>
        <v/>
      </c>
      <c r="O33" s="11">
        <f>IF(DAY(DATE(($C$2+0),10,29))=29,IFERROR(VLOOKUP(DATE(($C$2+0),10,29),祝日!$A$2:$B$65,2,FALSE),""),"")</f>
        <v/>
      </c>
      <c r="P33" s="10">
        <f>IF(DAY(DATE(($C$2+0),11,29))=29,TEXT(DATE(($C$2+0),11,29),"aaa"),"")</f>
        <v/>
      </c>
      <c r="Q33" s="11">
        <f>IF(DAY(DATE(($C$2+0),11,29))=29,IFERROR(VLOOKUP(DATE(($C$2+0),11,29),祝日!$A$2:$B$65,2,FALSE),""),"")</f>
        <v/>
      </c>
      <c r="R33" s="10">
        <f>IF(DAY(DATE(($C$2+0),12,29))=29,TEXT(DATE(($C$2+0),12,29),"aaa"),"")</f>
        <v/>
      </c>
      <c r="S33" s="11">
        <f>IF(DAY(DATE(($C$2+0),12,29))=29,IFERROR(VLOOKUP(DATE(($C$2+0),12,29),祝日!$A$2:$B$65,2,FALSE),""),"")</f>
        <v/>
      </c>
      <c r="T33" s="10">
        <f>IF(DAY(DATE(($C$2+1),1,29))=29,TEXT(DATE(($C$2+1),1,29),"aaa"),"")</f>
        <v/>
      </c>
      <c r="U33" s="11">
        <f>IF(DAY(DATE(($C$2+1),1,29))=29,IFERROR(VLOOKUP(DATE(($C$2+1),1,29),祝日!$A$2:$B$65,2,FALSE),""),"")</f>
        <v/>
      </c>
      <c r="V33" s="10">
        <f>IF(DAY(DATE(($C$2+1),2,29))=29,TEXT(DATE(($C$2+1),2,29),"aaa"),"")</f>
        <v/>
      </c>
      <c r="W33" s="11">
        <f>IF(DAY(DATE(($C$2+1),2,29))=29,IFERROR(VLOOKUP(DATE(($C$2+1),2,29),祝日!$A$2:$B$65,2,FALSE),""),"")</f>
        <v/>
      </c>
      <c r="X33" s="10">
        <f>IF(DAY(DATE(($C$2+1),3,29))=29,TEXT(DATE(($C$2+1),3,29),"aaa"),"")</f>
        <v/>
      </c>
      <c r="Y33" s="11">
        <f>IF(DAY(DATE(($C$2+1),3,29))=29,IFERROR(VLOOKUP(DATE(($C$2+1),3,29),祝日!$A$2:$B$65,2,FALSE),""),"")</f>
        <v/>
      </c>
    </row>
    <row r="34" ht="17" customHeight="1">
      <c r="A34" s="9" t="n">
        <v>30</v>
      </c>
      <c r="B34" s="10">
        <f>IF(DAY(DATE(($C$2+0),4,30))=30,TEXT(DATE(($C$2+0),4,30),"aaa"),"")</f>
        <v/>
      </c>
      <c r="C34" s="11">
        <f>IF(DAY(DATE(($C$2+0),4,30))=30,IFERROR(VLOOKUP(DATE(($C$2+0),4,30),祝日!$A$2:$B$65,2,FALSE),""),"")</f>
        <v/>
      </c>
      <c r="D34" s="10">
        <f>IF(DAY(DATE(($C$2+0),5,30))=30,TEXT(DATE(($C$2+0),5,30),"aaa"),"")</f>
        <v/>
      </c>
      <c r="E34" s="11">
        <f>IF(DAY(DATE(($C$2+0),5,30))=30,IFERROR(VLOOKUP(DATE(($C$2+0),5,30),祝日!$A$2:$B$65,2,FALSE),""),"")</f>
        <v/>
      </c>
      <c r="F34" s="10">
        <f>IF(DAY(DATE(($C$2+0),6,30))=30,TEXT(DATE(($C$2+0),6,30),"aaa"),"")</f>
        <v/>
      </c>
      <c r="G34" s="11">
        <f>IF(DAY(DATE(($C$2+0),6,30))=30,IFERROR(VLOOKUP(DATE(($C$2+0),6,30),祝日!$A$2:$B$65,2,FALSE),""),"")</f>
        <v/>
      </c>
      <c r="H34" s="10">
        <f>IF(DAY(DATE(($C$2+0),7,30))=30,TEXT(DATE(($C$2+0),7,30),"aaa"),"")</f>
        <v/>
      </c>
      <c r="I34" s="11">
        <f>IF(DAY(DATE(($C$2+0),7,30))=30,IFERROR(VLOOKUP(DATE(($C$2+0),7,30),祝日!$A$2:$B$65,2,FALSE),""),"")</f>
        <v/>
      </c>
      <c r="J34" s="10">
        <f>IF(DAY(DATE(($C$2+0),8,30))=30,TEXT(DATE(($C$2+0),8,30),"aaa"),"")</f>
        <v/>
      </c>
      <c r="K34" s="11">
        <f>IF(DAY(DATE(($C$2+0),8,30))=30,IFERROR(VLOOKUP(DATE(($C$2+0),8,30),祝日!$A$2:$B$65,2,FALSE),""),"")</f>
        <v/>
      </c>
      <c r="L34" s="10">
        <f>IF(DAY(DATE(($C$2+0),9,30))=30,TEXT(DATE(($C$2+0),9,30),"aaa"),"")</f>
        <v/>
      </c>
      <c r="M34" s="11">
        <f>IF(DAY(DATE(($C$2+0),9,30))=30,IFERROR(VLOOKUP(DATE(($C$2+0),9,30),祝日!$A$2:$B$65,2,FALSE),""),"")</f>
        <v/>
      </c>
      <c r="N34" s="10">
        <f>IF(DAY(DATE(($C$2+0),10,30))=30,TEXT(DATE(($C$2+0),10,30),"aaa"),"")</f>
        <v/>
      </c>
      <c r="O34" s="11">
        <f>IF(DAY(DATE(($C$2+0),10,30))=30,IFERROR(VLOOKUP(DATE(($C$2+0),10,30),祝日!$A$2:$B$65,2,FALSE),""),"")</f>
        <v/>
      </c>
      <c r="P34" s="10">
        <f>IF(DAY(DATE(($C$2+0),11,30))=30,TEXT(DATE(($C$2+0),11,30),"aaa"),"")</f>
        <v/>
      </c>
      <c r="Q34" s="11">
        <f>IF(DAY(DATE(($C$2+0),11,30))=30,IFERROR(VLOOKUP(DATE(($C$2+0),11,30),祝日!$A$2:$B$65,2,FALSE),""),"")</f>
        <v/>
      </c>
      <c r="R34" s="10">
        <f>IF(DAY(DATE(($C$2+0),12,30))=30,TEXT(DATE(($C$2+0),12,30),"aaa"),"")</f>
        <v/>
      </c>
      <c r="S34" s="11">
        <f>IF(DAY(DATE(($C$2+0),12,30))=30,IFERROR(VLOOKUP(DATE(($C$2+0),12,30),祝日!$A$2:$B$65,2,FALSE),""),"")</f>
        <v/>
      </c>
      <c r="T34" s="10">
        <f>IF(DAY(DATE(($C$2+1),1,30))=30,TEXT(DATE(($C$2+1),1,30),"aaa"),"")</f>
        <v/>
      </c>
      <c r="U34" s="11">
        <f>IF(DAY(DATE(($C$2+1),1,30))=30,IFERROR(VLOOKUP(DATE(($C$2+1),1,30),祝日!$A$2:$B$65,2,FALSE),""),"")</f>
        <v/>
      </c>
      <c r="V34" s="10">
        <f>IF(DAY(DATE(($C$2+1),2,30))=30,TEXT(DATE(($C$2+1),2,30),"aaa"),"")</f>
        <v/>
      </c>
      <c r="W34" s="11">
        <f>IF(DAY(DATE(($C$2+1),2,30))=30,IFERROR(VLOOKUP(DATE(($C$2+1),2,30),祝日!$A$2:$B$65,2,FALSE),""),"")</f>
        <v/>
      </c>
      <c r="X34" s="10">
        <f>IF(DAY(DATE(($C$2+1),3,30))=30,TEXT(DATE(($C$2+1),3,30),"aaa"),"")</f>
        <v/>
      </c>
      <c r="Y34" s="11">
        <f>IF(DAY(DATE(($C$2+1),3,30))=30,IFERROR(VLOOKUP(DATE(($C$2+1),3,30),祝日!$A$2:$B$65,2,FALSE),""),"")</f>
        <v/>
      </c>
    </row>
    <row r="35" ht="17" customHeight="1">
      <c r="A35" s="9" t="n">
        <v>31</v>
      </c>
      <c r="B35" s="10">
        <f>IF(DAY(DATE(($C$2+0),4,31))=31,TEXT(DATE(($C$2+0),4,31),"aaa"),"")</f>
        <v/>
      </c>
      <c r="C35" s="11">
        <f>IF(DAY(DATE(($C$2+0),4,31))=31,IFERROR(VLOOKUP(DATE(($C$2+0),4,31),祝日!$A$2:$B$65,2,FALSE),""),"")</f>
        <v/>
      </c>
      <c r="D35" s="10">
        <f>IF(DAY(DATE(($C$2+0),5,31))=31,TEXT(DATE(($C$2+0),5,31),"aaa"),"")</f>
        <v/>
      </c>
      <c r="E35" s="11">
        <f>IF(DAY(DATE(($C$2+0),5,31))=31,IFERROR(VLOOKUP(DATE(($C$2+0),5,31),祝日!$A$2:$B$65,2,FALSE),""),"")</f>
        <v/>
      </c>
      <c r="F35" s="10">
        <f>IF(DAY(DATE(($C$2+0),6,31))=31,TEXT(DATE(($C$2+0),6,31),"aaa"),"")</f>
        <v/>
      </c>
      <c r="G35" s="11">
        <f>IF(DAY(DATE(($C$2+0),6,31))=31,IFERROR(VLOOKUP(DATE(($C$2+0),6,31),祝日!$A$2:$B$65,2,FALSE),""),"")</f>
        <v/>
      </c>
      <c r="H35" s="10">
        <f>IF(DAY(DATE(($C$2+0),7,31))=31,TEXT(DATE(($C$2+0),7,31),"aaa"),"")</f>
        <v/>
      </c>
      <c r="I35" s="11">
        <f>IF(DAY(DATE(($C$2+0),7,31))=31,IFERROR(VLOOKUP(DATE(($C$2+0),7,31),祝日!$A$2:$B$65,2,FALSE),""),"")</f>
        <v/>
      </c>
      <c r="J35" s="10">
        <f>IF(DAY(DATE(($C$2+0),8,31))=31,TEXT(DATE(($C$2+0),8,31),"aaa"),"")</f>
        <v/>
      </c>
      <c r="K35" s="11">
        <f>IF(DAY(DATE(($C$2+0),8,31))=31,IFERROR(VLOOKUP(DATE(($C$2+0),8,31),祝日!$A$2:$B$65,2,FALSE),""),"")</f>
        <v/>
      </c>
      <c r="L35" s="10">
        <f>IF(DAY(DATE(($C$2+0),9,31))=31,TEXT(DATE(($C$2+0),9,31),"aaa"),"")</f>
        <v/>
      </c>
      <c r="M35" s="11">
        <f>IF(DAY(DATE(($C$2+0),9,31))=31,IFERROR(VLOOKUP(DATE(($C$2+0),9,31),祝日!$A$2:$B$65,2,FALSE),""),"")</f>
        <v/>
      </c>
      <c r="N35" s="10">
        <f>IF(DAY(DATE(($C$2+0),10,31))=31,TEXT(DATE(($C$2+0),10,31),"aaa"),"")</f>
        <v/>
      </c>
      <c r="O35" s="11">
        <f>IF(DAY(DATE(($C$2+0),10,31))=31,IFERROR(VLOOKUP(DATE(($C$2+0),10,31),祝日!$A$2:$B$65,2,FALSE),""),"")</f>
        <v/>
      </c>
      <c r="P35" s="10">
        <f>IF(DAY(DATE(($C$2+0),11,31))=31,TEXT(DATE(($C$2+0),11,31),"aaa"),"")</f>
        <v/>
      </c>
      <c r="Q35" s="11">
        <f>IF(DAY(DATE(($C$2+0),11,31))=31,IFERROR(VLOOKUP(DATE(($C$2+0),11,31),祝日!$A$2:$B$65,2,FALSE),""),"")</f>
        <v/>
      </c>
      <c r="R35" s="10">
        <f>IF(DAY(DATE(($C$2+0),12,31))=31,TEXT(DATE(($C$2+0),12,31),"aaa"),"")</f>
        <v/>
      </c>
      <c r="S35" s="11">
        <f>IF(DAY(DATE(($C$2+0),12,31))=31,IFERROR(VLOOKUP(DATE(($C$2+0),12,31),祝日!$A$2:$B$65,2,FALSE),""),"")</f>
        <v/>
      </c>
      <c r="T35" s="10">
        <f>IF(DAY(DATE(($C$2+1),1,31))=31,TEXT(DATE(($C$2+1),1,31),"aaa"),"")</f>
        <v/>
      </c>
      <c r="U35" s="11">
        <f>IF(DAY(DATE(($C$2+1),1,31))=31,IFERROR(VLOOKUP(DATE(($C$2+1),1,31),祝日!$A$2:$B$65,2,FALSE),""),"")</f>
        <v/>
      </c>
      <c r="V35" s="10">
        <f>IF(DAY(DATE(($C$2+1),2,31))=31,TEXT(DATE(($C$2+1),2,31),"aaa"),"")</f>
        <v/>
      </c>
      <c r="W35" s="11">
        <f>IF(DAY(DATE(($C$2+1),2,31))=31,IFERROR(VLOOKUP(DATE(($C$2+1),2,31),祝日!$A$2:$B$65,2,FALSE),""),"")</f>
        <v/>
      </c>
      <c r="X35" s="10">
        <f>IF(DAY(DATE(($C$2+1),3,31))=31,TEXT(DATE(($C$2+1),3,31),"aaa"),"")</f>
        <v/>
      </c>
      <c r="Y35" s="11">
        <f>IF(DAY(DATE(($C$2+1),3,31))=31,IFERROR(VLOOKUP(DATE(($C$2+1),3,31),祝日!$A$2:$B$65,2,FALSE),""),"")</f>
        <v/>
      </c>
    </row>
  </sheetData>
  <mergeCells count="15">
    <mergeCell ref="F4:G4"/>
    <mergeCell ref="P4:Q4"/>
    <mergeCell ref="J4:K4"/>
    <mergeCell ref="V4:W4"/>
    <mergeCell ref="X4:Y4"/>
    <mergeCell ref="L4:M4"/>
    <mergeCell ref="U2:Y2"/>
    <mergeCell ref="N4:O4"/>
    <mergeCell ref="D4:E4"/>
    <mergeCell ref="H4:I4"/>
    <mergeCell ref="B1:L1"/>
    <mergeCell ref="R4:S4"/>
    <mergeCell ref="B4:C4"/>
    <mergeCell ref="D2:P2"/>
    <mergeCell ref="T4:U4"/>
  </mergeCells>
  <conditionalFormatting sqref="B5:C5">
    <cfRule type="expression" priority="1" dxfId="0">
      <formula>$B5=""</formula>
    </cfRule>
    <cfRule type="expression" priority="2" dxfId="1">
      <formula>OR($B5="日",COUNTIF(祝日!$A$2:$A$65,DATE(($C$2+0),4,1))&gt;0)</formula>
    </cfRule>
    <cfRule type="expression" priority="3" dxfId="2">
      <formula>$B5="土"</formula>
    </cfRule>
  </conditionalFormatting>
  <conditionalFormatting sqref="D5:E5">
    <cfRule type="expression" priority="4" dxfId="0">
      <formula>$D5=""</formula>
    </cfRule>
    <cfRule type="expression" priority="5" dxfId="1">
      <formula>OR($D5="日",COUNTIF(祝日!$A$2:$A$65,DATE(($C$2+0),5,1))&gt;0)</formula>
    </cfRule>
    <cfRule type="expression" priority="6" dxfId="2">
      <formula>$D5="土"</formula>
    </cfRule>
  </conditionalFormatting>
  <conditionalFormatting sqref="F5:G5">
    <cfRule type="expression" priority="7" dxfId="0">
      <formula>$F5=""</formula>
    </cfRule>
    <cfRule type="expression" priority="8" dxfId="1">
      <formula>OR($F5="日",COUNTIF(祝日!$A$2:$A$65,DATE(($C$2+0),6,1))&gt;0)</formula>
    </cfRule>
    <cfRule type="expression" priority="9" dxfId="2">
      <formula>$F5="土"</formula>
    </cfRule>
  </conditionalFormatting>
  <conditionalFormatting sqref="H5:I5">
    <cfRule type="expression" priority="10" dxfId="0">
      <formula>$H5=""</formula>
    </cfRule>
    <cfRule type="expression" priority="11" dxfId="1">
      <formula>OR($H5="日",COUNTIF(祝日!$A$2:$A$65,DATE(($C$2+0),7,1))&gt;0)</formula>
    </cfRule>
    <cfRule type="expression" priority="12" dxfId="2">
      <formula>$H5="土"</formula>
    </cfRule>
  </conditionalFormatting>
  <conditionalFormatting sqref="J5:K5">
    <cfRule type="expression" priority="13" dxfId="0">
      <formula>$J5=""</formula>
    </cfRule>
    <cfRule type="expression" priority="14" dxfId="1">
      <formula>OR($J5="日",COUNTIF(祝日!$A$2:$A$65,DATE(($C$2+0),8,1))&gt;0)</formula>
    </cfRule>
    <cfRule type="expression" priority="15" dxfId="2">
      <formula>$J5="土"</formula>
    </cfRule>
  </conditionalFormatting>
  <conditionalFormatting sqref="L5:M5">
    <cfRule type="expression" priority="16" dxfId="0">
      <formula>$L5=""</formula>
    </cfRule>
    <cfRule type="expression" priority="17" dxfId="1">
      <formula>OR($L5="日",COUNTIF(祝日!$A$2:$A$65,DATE(($C$2+0),9,1))&gt;0)</formula>
    </cfRule>
    <cfRule type="expression" priority="18" dxfId="2">
      <formula>$L5="土"</formula>
    </cfRule>
  </conditionalFormatting>
  <conditionalFormatting sqref="N5:O5">
    <cfRule type="expression" priority="19" dxfId="0">
      <formula>$N5=""</formula>
    </cfRule>
    <cfRule type="expression" priority="20" dxfId="1">
      <formula>OR($N5="日",COUNTIF(祝日!$A$2:$A$65,DATE(($C$2+0),10,1))&gt;0)</formula>
    </cfRule>
    <cfRule type="expression" priority="21" dxfId="2">
      <formula>$N5="土"</formula>
    </cfRule>
  </conditionalFormatting>
  <conditionalFormatting sqref="P5:Q5">
    <cfRule type="expression" priority="22" dxfId="0">
      <formula>$P5=""</formula>
    </cfRule>
    <cfRule type="expression" priority="23" dxfId="1">
      <formula>OR($P5="日",COUNTIF(祝日!$A$2:$A$65,DATE(($C$2+0),11,1))&gt;0)</formula>
    </cfRule>
    <cfRule type="expression" priority="24" dxfId="2">
      <formula>$P5="土"</formula>
    </cfRule>
  </conditionalFormatting>
  <conditionalFormatting sqref="R5:S5">
    <cfRule type="expression" priority="25" dxfId="0">
      <formula>$R5=""</formula>
    </cfRule>
    <cfRule type="expression" priority="26" dxfId="1">
      <formula>OR($R5="日",COUNTIF(祝日!$A$2:$A$65,DATE(($C$2+0),12,1))&gt;0)</formula>
    </cfRule>
    <cfRule type="expression" priority="27" dxfId="2">
      <formula>$R5="土"</formula>
    </cfRule>
  </conditionalFormatting>
  <conditionalFormatting sqref="T5:U5">
    <cfRule type="expression" priority="28" dxfId="0">
      <formula>$T5=""</formula>
    </cfRule>
    <cfRule type="expression" priority="29" dxfId="1">
      <formula>OR($T5="日",COUNTIF(祝日!$A$2:$A$65,DATE(($C$2+1),1,1))&gt;0)</formula>
    </cfRule>
    <cfRule type="expression" priority="30" dxfId="2">
      <formula>$T5="土"</formula>
    </cfRule>
  </conditionalFormatting>
  <conditionalFormatting sqref="V5:W5">
    <cfRule type="expression" priority="31" dxfId="0">
      <formula>$V5=""</formula>
    </cfRule>
    <cfRule type="expression" priority="32" dxfId="1">
      <formula>OR($V5="日",COUNTIF(祝日!$A$2:$A$65,DATE(($C$2+1),2,1))&gt;0)</formula>
    </cfRule>
    <cfRule type="expression" priority="33" dxfId="2">
      <formula>$V5="土"</formula>
    </cfRule>
  </conditionalFormatting>
  <conditionalFormatting sqref="X5:Y5">
    <cfRule type="expression" priority="34" dxfId="0">
      <formula>$X5=""</formula>
    </cfRule>
    <cfRule type="expression" priority="35" dxfId="1">
      <formula>OR($X5="日",COUNTIF(祝日!$A$2:$A$65,DATE(($C$2+1),3,1))&gt;0)</formula>
    </cfRule>
    <cfRule type="expression" priority="36" dxfId="2">
      <formula>$X5="土"</formula>
    </cfRule>
  </conditionalFormatting>
  <conditionalFormatting sqref="B6:C6">
    <cfRule type="expression" priority="37" dxfId="0">
      <formula>$B6=""</formula>
    </cfRule>
    <cfRule type="expression" priority="38" dxfId="1">
      <formula>OR($B6="日",COUNTIF(祝日!$A$2:$A$65,DATE(($C$2+0),4,2))&gt;0)</formula>
    </cfRule>
    <cfRule type="expression" priority="39" dxfId="2">
      <formula>$B6="土"</formula>
    </cfRule>
  </conditionalFormatting>
  <conditionalFormatting sqref="D6:E6">
    <cfRule type="expression" priority="40" dxfId="0">
      <formula>$D6=""</formula>
    </cfRule>
    <cfRule type="expression" priority="41" dxfId="1">
      <formula>OR($D6="日",COUNTIF(祝日!$A$2:$A$65,DATE(($C$2+0),5,2))&gt;0)</formula>
    </cfRule>
    <cfRule type="expression" priority="42" dxfId="2">
      <formula>$D6="土"</formula>
    </cfRule>
  </conditionalFormatting>
  <conditionalFormatting sqref="F6:G6">
    <cfRule type="expression" priority="43" dxfId="0">
      <formula>$F6=""</formula>
    </cfRule>
    <cfRule type="expression" priority="44" dxfId="1">
      <formula>OR($F6="日",COUNTIF(祝日!$A$2:$A$65,DATE(($C$2+0),6,2))&gt;0)</formula>
    </cfRule>
    <cfRule type="expression" priority="45" dxfId="2">
      <formula>$F6="土"</formula>
    </cfRule>
  </conditionalFormatting>
  <conditionalFormatting sqref="H6:I6">
    <cfRule type="expression" priority="46" dxfId="0">
      <formula>$H6=""</formula>
    </cfRule>
    <cfRule type="expression" priority="47" dxfId="1">
      <formula>OR($H6="日",COUNTIF(祝日!$A$2:$A$65,DATE(($C$2+0),7,2))&gt;0)</formula>
    </cfRule>
    <cfRule type="expression" priority="48" dxfId="2">
      <formula>$H6="土"</formula>
    </cfRule>
  </conditionalFormatting>
  <conditionalFormatting sqref="J6:K6">
    <cfRule type="expression" priority="49" dxfId="0">
      <formula>$J6=""</formula>
    </cfRule>
    <cfRule type="expression" priority="50" dxfId="1">
      <formula>OR($J6="日",COUNTIF(祝日!$A$2:$A$65,DATE(($C$2+0),8,2))&gt;0)</formula>
    </cfRule>
    <cfRule type="expression" priority="51" dxfId="2">
      <formula>$J6="土"</formula>
    </cfRule>
  </conditionalFormatting>
  <conditionalFormatting sqref="L6:M6">
    <cfRule type="expression" priority="52" dxfId="0">
      <formula>$L6=""</formula>
    </cfRule>
    <cfRule type="expression" priority="53" dxfId="1">
      <formula>OR($L6="日",COUNTIF(祝日!$A$2:$A$65,DATE(($C$2+0),9,2))&gt;0)</formula>
    </cfRule>
    <cfRule type="expression" priority="54" dxfId="2">
      <formula>$L6="土"</formula>
    </cfRule>
  </conditionalFormatting>
  <conditionalFormatting sqref="N6:O6">
    <cfRule type="expression" priority="55" dxfId="0">
      <formula>$N6=""</formula>
    </cfRule>
    <cfRule type="expression" priority="56" dxfId="1">
      <formula>OR($N6="日",COUNTIF(祝日!$A$2:$A$65,DATE(($C$2+0),10,2))&gt;0)</formula>
    </cfRule>
    <cfRule type="expression" priority="57" dxfId="2">
      <formula>$N6="土"</formula>
    </cfRule>
  </conditionalFormatting>
  <conditionalFormatting sqref="P6:Q6">
    <cfRule type="expression" priority="58" dxfId="0">
      <formula>$P6=""</formula>
    </cfRule>
    <cfRule type="expression" priority="59" dxfId="1">
      <formula>OR($P6="日",COUNTIF(祝日!$A$2:$A$65,DATE(($C$2+0),11,2))&gt;0)</formula>
    </cfRule>
    <cfRule type="expression" priority="60" dxfId="2">
      <formula>$P6="土"</formula>
    </cfRule>
  </conditionalFormatting>
  <conditionalFormatting sqref="R6:S6">
    <cfRule type="expression" priority="61" dxfId="0">
      <formula>$R6=""</formula>
    </cfRule>
    <cfRule type="expression" priority="62" dxfId="1">
      <formula>OR($R6="日",COUNTIF(祝日!$A$2:$A$65,DATE(($C$2+0),12,2))&gt;0)</formula>
    </cfRule>
    <cfRule type="expression" priority="63" dxfId="2">
      <formula>$R6="土"</formula>
    </cfRule>
  </conditionalFormatting>
  <conditionalFormatting sqref="T6:U6">
    <cfRule type="expression" priority="64" dxfId="0">
      <formula>$T6=""</formula>
    </cfRule>
    <cfRule type="expression" priority="65" dxfId="1">
      <formula>OR($T6="日",COUNTIF(祝日!$A$2:$A$65,DATE(($C$2+1),1,2))&gt;0)</formula>
    </cfRule>
    <cfRule type="expression" priority="66" dxfId="2">
      <formula>$T6="土"</formula>
    </cfRule>
  </conditionalFormatting>
  <conditionalFormatting sqref="V6:W6">
    <cfRule type="expression" priority="67" dxfId="0">
      <formula>$V6=""</formula>
    </cfRule>
    <cfRule type="expression" priority="68" dxfId="1">
      <formula>OR($V6="日",COUNTIF(祝日!$A$2:$A$65,DATE(($C$2+1),2,2))&gt;0)</formula>
    </cfRule>
    <cfRule type="expression" priority="69" dxfId="2">
      <formula>$V6="土"</formula>
    </cfRule>
  </conditionalFormatting>
  <conditionalFormatting sqref="X6:Y6">
    <cfRule type="expression" priority="70" dxfId="0">
      <formula>$X6=""</formula>
    </cfRule>
    <cfRule type="expression" priority="71" dxfId="1">
      <formula>OR($X6="日",COUNTIF(祝日!$A$2:$A$65,DATE(($C$2+1),3,2))&gt;0)</formula>
    </cfRule>
    <cfRule type="expression" priority="72" dxfId="2">
      <formula>$X6="土"</formula>
    </cfRule>
  </conditionalFormatting>
  <conditionalFormatting sqref="B7:C7">
    <cfRule type="expression" priority="73" dxfId="0">
      <formula>$B7=""</formula>
    </cfRule>
    <cfRule type="expression" priority="74" dxfId="1">
      <formula>OR($B7="日",COUNTIF(祝日!$A$2:$A$65,DATE(($C$2+0),4,3))&gt;0)</formula>
    </cfRule>
    <cfRule type="expression" priority="75" dxfId="2">
      <formula>$B7="土"</formula>
    </cfRule>
  </conditionalFormatting>
  <conditionalFormatting sqref="D7:E7">
    <cfRule type="expression" priority="76" dxfId="0">
      <formula>$D7=""</formula>
    </cfRule>
    <cfRule type="expression" priority="77" dxfId="1">
      <formula>OR($D7="日",COUNTIF(祝日!$A$2:$A$65,DATE(($C$2+0),5,3))&gt;0)</formula>
    </cfRule>
    <cfRule type="expression" priority="78" dxfId="2">
      <formula>$D7="土"</formula>
    </cfRule>
  </conditionalFormatting>
  <conditionalFormatting sqref="F7:G7">
    <cfRule type="expression" priority="79" dxfId="0">
      <formula>$F7=""</formula>
    </cfRule>
    <cfRule type="expression" priority="80" dxfId="1">
      <formula>OR($F7="日",COUNTIF(祝日!$A$2:$A$65,DATE(($C$2+0),6,3))&gt;0)</formula>
    </cfRule>
    <cfRule type="expression" priority="81" dxfId="2">
      <formula>$F7="土"</formula>
    </cfRule>
  </conditionalFormatting>
  <conditionalFormatting sqref="H7:I7">
    <cfRule type="expression" priority="82" dxfId="0">
      <formula>$H7=""</formula>
    </cfRule>
    <cfRule type="expression" priority="83" dxfId="1">
      <formula>OR($H7="日",COUNTIF(祝日!$A$2:$A$65,DATE(($C$2+0),7,3))&gt;0)</formula>
    </cfRule>
    <cfRule type="expression" priority="84" dxfId="2">
      <formula>$H7="土"</formula>
    </cfRule>
  </conditionalFormatting>
  <conditionalFormatting sqref="J7:K7">
    <cfRule type="expression" priority="85" dxfId="0">
      <formula>$J7=""</formula>
    </cfRule>
    <cfRule type="expression" priority="86" dxfId="1">
      <formula>OR($J7="日",COUNTIF(祝日!$A$2:$A$65,DATE(($C$2+0),8,3))&gt;0)</formula>
    </cfRule>
    <cfRule type="expression" priority="87" dxfId="2">
      <formula>$J7="土"</formula>
    </cfRule>
  </conditionalFormatting>
  <conditionalFormatting sqref="L7:M7">
    <cfRule type="expression" priority="88" dxfId="0">
      <formula>$L7=""</formula>
    </cfRule>
    <cfRule type="expression" priority="89" dxfId="1">
      <formula>OR($L7="日",COUNTIF(祝日!$A$2:$A$65,DATE(($C$2+0),9,3))&gt;0)</formula>
    </cfRule>
    <cfRule type="expression" priority="90" dxfId="2">
      <formula>$L7="土"</formula>
    </cfRule>
  </conditionalFormatting>
  <conditionalFormatting sqref="N7:O7">
    <cfRule type="expression" priority="91" dxfId="0">
      <formula>$N7=""</formula>
    </cfRule>
    <cfRule type="expression" priority="92" dxfId="1">
      <formula>OR($N7="日",COUNTIF(祝日!$A$2:$A$65,DATE(($C$2+0),10,3))&gt;0)</formula>
    </cfRule>
    <cfRule type="expression" priority="93" dxfId="2">
      <formula>$N7="土"</formula>
    </cfRule>
  </conditionalFormatting>
  <conditionalFormatting sqref="P7:Q7">
    <cfRule type="expression" priority="94" dxfId="0">
      <formula>$P7=""</formula>
    </cfRule>
    <cfRule type="expression" priority="95" dxfId="1">
      <formula>OR($P7="日",COUNTIF(祝日!$A$2:$A$65,DATE(($C$2+0),11,3))&gt;0)</formula>
    </cfRule>
    <cfRule type="expression" priority="96" dxfId="2">
      <formula>$P7="土"</formula>
    </cfRule>
  </conditionalFormatting>
  <conditionalFormatting sqref="R7:S7">
    <cfRule type="expression" priority="97" dxfId="0">
      <formula>$R7=""</formula>
    </cfRule>
    <cfRule type="expression" priority="98" dxfId="1">
      <formula>OR($R7="日",COUNTIF(祝日!$A$2:$A$65,DATE(($C$2+0),12,3))&gt;0)</formula>
    </cfRule>
    <cfRule type="expression" priority="99" dxfId="2">
      <formula>$R7="土"</formula>
    </cfRule>
  </conditionalFormatting>
  <conditionalFormatting sqref="T7:U7">
    <cfRule type="expression" priority="100" dxfId="0">
      <formula>$T7=""</formula>
    </cfRule>
    <cfRule type="expression" priority="101" dxfId="1">
      <formula>OR($T7="日",COUNTIF(祝日!$A$2:$A$65,DATE(($C$2+1),1,3))&gt;0)</formula>
    </cfRule>
    <cfRule type="expression" priority="102" dxfId="2">
      <formula>$T7="土"</formula>
    </cfRule>
  </conditionalFormatting>
  <conditionalFormatting sqref="V7:W7">
    <cfRule type="expression" priority="103" dxfId="0">
      <formula>$V7=""</formula>
    </cfRule>
    <cfRule type="expression" priority="104" dxfId="1">
      <formula>OR($V7="日",COUNTIF(祝日!$A$2:$A$65,DATE(($C$2+1),2,3))&gt;0)</formula>
    </cfRule>
    <cfRule type="expression" priority="105" dxfId="2">
      <formula>$V7="土"</formula>
    </cfRule>
  </conditionalFormatting>
  <conditionalFormatting sqref="X7:Y7">
    <cfRule type="expression" priority="106" dxfId="0">
      <formula>$X7=""</formula>
    </cfRule>
    <cfRule type="expression" priority="107" dxfId="1">
      <formula>OR($X7="日",COUNTIF(祝日!$A$2:$A$65,DATE(($C$2+1),3,3))&gt;0)</formula>
    </cfRule>
    <cfRule type="expression" priority="108" dxfId="2">
      <formula>$X7="土"</formula>
    </cfRule>
  </conditionalFormatting>
  <conditionalFormatting sqref="B8:C8">
    <cfRule type="expression" priority="109" dxfId="0">
      <formula>$B8=""</formula>
    </cfRule>
    <cfRule type="expression" priority="110" dxfId="1">
      <formula>OR($B8="日",COUNTIF(祝日!$A$2:$A$65,DATE(($C$2+0),4,4))&gt;0)</formula>
    </cfRule>
    <cfRule type="expression" priority="111" dxfId="2">
      <formula>$B8="土"</formula>
    </cfRule>
  </conditionalFormatting>
  <conditionalFormatting sqref="D8:E8">
    <cfRule type="expression" priority="112" dxfId="0">
      <formula>$D8=""</formula>
    </cfRule>
    <cfRule type="expression" priority="113" dxfId="1">
      <formula>OR($D8="日",COUNTIF(祝日!$A$2:$A$65,DATE(($C$2+0),5,4))&gt;0)</formula>
    </cfRule>
    <cfRule type="expression" priority="114" dxfId="2">
      <formula>$D8="土"</formula>
    </cfRule>
  </conditionalFormatting>
  <conditionalFormatting sqref="F8:G8">
    <cfRule type="expression" priority="115" dxfId="0">
      <formula>$F8=""</formula>
    </cfRule>
    <cfRule type="expression" priority="116" dxfId="1">
      <formula>OR($F8="日",COUNTIF(祝日!$A$2:$A$65,DATE(($C$2+0),6,4))&gt;0)</formula>
    </cfRule>
    <cfRule type="expression" priority="117" dxfId="2">
      <formula>$F8="土"</formula>
    </cfRule>
  </conditionalFormatting>
  <conditionalFormatting sqref="H8:I8">
    <cfRule type="expression" priority="118" dxfId="0">
      <formula>$H8=""</formula>
    </cfRule>
    <cfRule type="expression" priority="119" dxfId="1">
      <formula>OR($H8="日",COUNTIF(祝日!$A$2:$A$65,DATE(($C$2+0),7,4))&gt;0)</formula>
    </cfRule>
    <cfRule type="expression" priority="120" dxfId="2">
      <formula>$H8="土"</formula>
    </cfRule>
  </conditionalFormatting>
  <conditionalFormatting sqref="J8:K8">
    <cfRule type="expression" priority="121" dxfId="0">
      <formula>$J8=""</formula>
    </cfRule>
    <cfRule type="expression" priority="122" dxfId="1">
      <formula>OR($J8="日",COUNTIF(祝日!$A$2:$A$65,DATE(($C$2+0),8,4))&gt;0)</formula>
    </cfRule>
    <cfRule type="expression" priority="123" dxfId="2">
      <formula>$J8="土"</formula>
    </cfRule>
  </conditionalFormatting>
  <conditionalFormatting sqref="L8:M8">
    <cfRule type="expression" priority="124" dxfId="0">
      <formula>$L8=""</formula>
    </cfRule>
    <cfRule type="expression" priority="125" dxfId="1">
      <formula>OR($L8="日",COUNTIF(祝日!$A$2:$A$65,DATE(($C$2+0),9,4))&gt;0)</formula>
    </cfRule>
    <cfRule type="expression" priority="126" dxfId="2">
      <formula>$L8="土"</formula>
    </cfRule>
  </conditionalFormatting>
  <conditionalFormatting sqref="N8:O8">
    <cfRule type="expression" priority="127" dxfId="0">
      <formula>$N8=""</formula>
    </cfRule>
    <cfRule type="expression" priority="128" dxfId="1">
      <formula>OR($N8="日",COUNTIF(祝日!$A$2:$A$65,DATE(($C$2+0),10,4))&gt;0)</formula>
    </cfRule>
    <cfRule type="expression" priority="129" dxfId="2">
      <formula>$N8="土"</formula>
    </cfRule>
  </conditionalFormatting>
  <conditionalFormatting sqref="P8:Q8">
    <cfRule type="expression" priority="130" dxfId="0">
      <formula>$P8=""</formula>
    </cfRule>
    <cfRule type="expression" priority="131" dxfId="1">
      <formula>OR($P8="日",COUNTIF(祝日!$A$2:$A$65,DATE(($C$2+0),11,4))&gt;0)</formula>
    </cfRule>
    <cfRule type="expression" priority="132" dxfId="2">
      <formula>$P8="土"</formula>
    </cfRule>
  </conditionalFormatting>
  <conditionalFormatting sqref="R8:S8">
    <cfRule type="expression" priority="133" dxfId="0">
      <formula>$R8=""</formula>
    </cfRule>
    <cfRule type="expression" priority="134" dxfId="1">
      <formula>OR($R8="日",COUNTIF(祝日!$A$2:$A$65,DATE(($C$2+0),12,4))&gt;0)</formula>
    </cfRule>
    <cfRule type="expression" priority="135" dxfId="2">
      <formula>$R8="土"</formula>
    </cfRule>
  </conditionalFormatting>
  <conditionalFormatting sqref="T8:U8">
    <cfRule type="expression" priority="136" dxfId="0">
      <formula>$T8=""</formula>
    </cfRule>
    <cfRule type="expression" priority="137" dxfId="1">
      <formula>OR($T8="日",COUNTIF(祝日!$A$2:$A$65,DATE(($C$2+1),1,4))&gt;0)</formula>
    </cfRule>
    <cfRule type="expression" priority="138" dxfId="2">
      <formula>$T8="土"</formula>
    </cfRule>
  </conditionalFormatting>
  <conditionalFormatting sqref="V8:W8">
    <cfRule type="expression" priority="139" dxfId="0">
      <formula>$V8=""</formula>
    </cfRule>
    <cfRule type="expression" priority="140" dxfId="1">
      <formula>OR($V8="日",COUNTIF(祝日!$A$2:$A$65,DATE(($C$2+1),2,4))&gt;0)</formula>
    </cfRule>
    <cfRule type="expression" priority="141" dxfId="2">
      <formula>$V8="土"</formula>
    </cfRule>
  </conditionalFormatting>
  <conditionalFormatting sqref="X8:Y8">
    <cfRule type="expression" priority="142" dxfId="0">
      <formula>$X8=""</formula>
    </cfRule>
    <cfRule type="expression" priority="143" dxfId="1">
      <formula>OR($X8="日",COUNTIF(祝日!$A$2:$A$65,DATE(($C$2+1),3,4))&gt;0)</formula>
    </cfRule>
    <cfRule type="expression" priority="144" dxfId="2">
      <formula>$X8="土"</formula>
    </cfRule>
  </conditionalFormatting>
  <conditionalFormatting sqref="B9:C9">
    <cfRule type="expression" priority="145" dxfId="0">
      <formula>$B9=""</formula>
    </cfRule>
    <cfRule type="expression" priority="146" dxfId="1">
      <formula>OR($B9="日",COUNTIF(祝日!$A$2:$A$65,DATE(($C$2+0),4,5))&gt;0)</formula>
    </cfRule>
    <cfRule type="expression" priority="147" dxfId="2">
      <formula>$B9="土"</formula>
    </cfRule>
  </conditionalFormatting>
  <conditionalFormatting sqref="D9:E9">
    <cfRule type="expression" priority="148" dxfId="0">
      <formula>$D9=""</formula>
    </cfRule>
    <cfRule type="expression" priority="149" dxfId="1">
      <formula>OR($D9="日",COUNTIF(祝日!$A$2:$A$65,DATE(($C$2+0),5,5))&gt;0)</formula>
    </cfRule>
    <cfRule type="expression" priority="150" dxfId="2">
      <formula>$D9="土"</formula>
    </cfRule>
  </conditionalFormatting>
  <conditionalFormatting sqref="F9:G9">
    <cfRule type="expression" priority="151" dxfId="0">
      <formula>$F9=""</formula>
    </cfRule>
    <cfRule type="expression" priority="152" dxfId="1">
      <formula>OR($F9="日",COUNTIF(祝日!$A$2:$A$65,DATE(($C$2+0),6,5))&gt;0)</formula>
    </cfRule>
    <cfRule type="expression" priority="153" dxfId="2">
      <formula>$F9="土"</formula>
    </cfRule>
  </conditionalFormatting>
  <conditionalFormatting sqref="H9:I9">
    <cfRule type="expression" priority="154" dxfId="0">
      <formula>$H9=""</formula>
    </cfRule>
    <cfRule type="expression" priority="155" dxfId="1">
      <formula>OR($H9="日",COUNTIF(祝日!$A$2:$A$65,DATE(($C$2+0),7,5))&gt;0)</formula>
    </cfRule>
    <cfRule type="expression" priority="156" dxfId="2">
      <formula>$H9="土"</formula>
    </cfRule>
  </conditionalFormatting>
  <conditionalFormatting sqref="J9:K9">
    <cfRule type="expression" priority="157" dxfId="0">
      <formula>$J9=""</formula>
    </cfRule>
    <cfRule type="expression" priority="158" dxfId="1">
      <formula>OR($J9="日",COUNTIF(祝日!$A$2:$A$65,DATE(($C$2+0),8,5))&gt;0)</formula>
    </cfRule>
    <cfRule type="expression" priority="159" dxfId="2">
      <formula>$J9="土"</formula>
    </cfRule>
  </conditionalFormatting>
  <conditionalFormatting sqref="L9:M9">
    <cfRule type="expression" priority="160" dxfId="0">
      <formula>$L9=""</formula>
    </cfRule>
    <cfRule type="expression" priority="161" dxfId="1">
      <formula>OR($L9="日",COUNTIF(祝日!$A$2:$A$65,DATE(($C$2+0),9,5))&gt;0)</formula>
    </cfRule>
    <cfRule type="expression" priority="162" dxfId="2">
      <formula>$L9="土"</formula>
    </cfRule>
  </conditionalFormatting>
  <conditionalFormatting sqref="N9:O9">
    <cfRule type="expression" priority="163" dxfId="0">
      <formula>$N9=""</formula>
    </cfRule>
    <cfRule type="expression" priority="164" dxfId="1">
      <formula>OR($N9="日",COUNTIF(祝日!$A$2:$A$65,DATE(($C$2+0),10,5))&gt;0)</formula>
    </cfRule>
    <cfRule type="expression" priority="165" dxfId="2">
      <formula>$N9="土"</formula>
    </cfRule>
  </conditionalFormatting>
  <conditionalFormatting sqref="P9:Q9">
    <cfRule type="expression" priority="166" dxfId="0">
      <formula>$P9=""</formula>
    </cfRule>
    <cfRule type="expression" priority="167" dxfId="1">
      <formula>OR($P9="日",COUNTIF(祝日!$A$2:$A$65,DATE(($C$2+0),11,5))&gt;0)</formula>
    </cfRule>
    <cfRule type="expression" priority="168" dxfId="2">
      <formula>$P9="土"</formula>
    </cfRule>
  </conditionalFormatting>
  <conditionalFormatting sqref="R9:S9">
    <cfRule type="expression" priority="169" dxfId="0">
      <formula>$R9=""</formula>
    </cfRule>
    <cfRule type="expression" priority="170" dxfId="1">
      <formula>OR($R9="日",COUNTIF(祝日!$A$2:$A$65,DATE(($C$2+0),12,5))&gt;0)</formula>
    </cfRule>
    <cfRule type="expression" priority="171" dxfId="2">
      <formula>$R9="土"</formula>
    </cfRule>
  </conditionalFormatting>
  <conditionalFormatting sqref="T9:U9">
    <cfRule type="expression" priority="172" dxfId="0">
      <formula>$T9=""</formula>
    </cfRule>
    <cfRule type="expression" priority="173" dxfId="1">
      <formula>OR($T9="日",COUNTIF(祝日!$A$2:$A$65,DATE(($C$2+1),1,5))&gt;0)</formula>
    </cfRule>
    <cfRule type="expression" priority="174" dxfId="2">
      <formula>$T9="土"</formula>
    </cfRule>
  </conditionalFormatting>
  <conditionalFormatting sqref="V9:W9">
    <cfRule type="expression" priority="175" dxfId="0">
      <formula>$V9=""</formula>
    </cfRule>
    <cfRule type="expression" priority="176" dxfId="1">
      <formula>OR($V9="日",COUNTIF(祝日!$A$2:$A$65,DATE(($C$2+1),2,5))&gt;0)</formula>
    </cfRule>
    <cfRule type="expression" priority="177" dxfId="2">
      <formula>$V9="土"</formula>
    </cfRule>
  </conditionalFormatting>
  <conditionalFormatting sqref="X9:Y9">
    <cfRule type="expression" priority="178" dxfId="0">
      <formula>$X9=""</formula>
    </cfRule>
    <cfRule type="expression" priority="179" dxfId="1">
      <formula>OR($X9="日",COUNTIF(祝日!$A$2:$A$65,DATE(($C$2+1),3,5))&gt;0)</formula>
    </cfRule>
    <cfRule type="expression" priority="180" dxfId="2">
      <formula>$X9="土"</formula>
    </cfRule>
  </conditionalFormatting>
  <conditionalFormatting sqref="B10:C10">
    <cfRule type="expression" priority="181" dxfId="0">
      <formula>$B10=""</formula>
    </cfRule>
    <cfRule type="expression" priority="182" dxfId="1">
      <formula>OR($B10="日",COUNTIF(祝日!$A$2:$A$65,DATE(($C$2+0),4,6))&gt;0)</formula>
    </cfRule>
    <cfRule type="expression" priority="183" dxfId="2">
      <formula>$B10="土"</formula>
    </cfRule>
  </conditionalFormatting>
  <conditionalFormatting sqref="D10:E10">
    <cfRule type="expression" priority="184" dxfId="0">
      <formula>$D10=""</formula>
    </cfRule>
    <cfRule type="expression" priority="185" dxfId="1">
      <formula>OR($D10="日",COUNTIF(祝日!$A$2:$A$65,DATE(($C$2+0),5,6))&gt;0)</formula>
    </cfRule>
    <cfRule type="expression" priority="186" dxfId="2">
      <formula>$D10="土"</formula>
    </cfRule>
  </conditionalFormatting>
  <conditionalFormatting sqref="F10:G10">
    <cfRule type="expression" priority="187" dxfId="0">
      <formula>$F10=""</formula>
    </cfRule>
    <cfRule type="expression" priority="188" dxfId="1">
      <formula>OR($F10="日",COUNTIF(祝日!$A$2:$A$65,DATE(($C$2+0),6,6))&gt;0)</formula>
    </cfRule>
    <cfRule type="expression" priority="189" dxfId="2">
      <formula>$F10="土"</formula>
    </cfRule>
  </conditionalFormatting>
  <conditionalFormatting sqref="H10:I10">
    <cfRule type="expression" priority="190" dxfId="0">
      <formula>$H10=""</formula>
    </cfRule>
    <cfRule type="expression" priority="191" dxfId="1">
      <formula>OR($H10="日",COUNTIF(祝日!$A$2:$A$65,DATE(($C$2+0),7,6))&gt;0)</formula>
    </cfRule>
    <cfRule type="expression" priority="192" dxfId="2">
      <formula>$H10="土"</formula>
    </cfRule>
  </conditionalFormatting>
  <conditionalFormatting sqref="J10:K10">
    <cfRule type="expression" priority="193" dxfId="0">
      <formula>$J10=""</formula>
    </cfRule>
    <cfRule type="expression" priority="194" dxfId="1">
      <formula>OR($J10="日",COUNTIF(祝日!$A$2:$A$65,DATE(($C$2+0),8,6))&gt;0)</formula>
    </cfRule>
    <cfRule type="expression" priority="195" dxfId="2">
      <formula>$J10="土"</formula>
    </cfRule>
  </conditionalFormatting>
  <conditionalFormatting sqref="L10:M10">
    <cfRule type="expression" priority="196" dxfId="0">
      <formula>$L10=""</formula>
    </cfRule>
    <cfRule type="expression" priority="197" dxfId="1">
      <formula>OR($L10="日",COUNTIF(祝日!$A$2:$A$65,DATE(($C$2+0),9,6))&gt;0)</formula>
    </cfRule>
    <cfRule type="expression" priority="198" dxfId="2">
      <formula>$L10="土"</formula>
    </cfRule>
  </conditionalFormatting>
  <conditionalFormatting sqref="N10:O10">
    <cfRule type="expression" priority="199" dxfId="0">
      <formula>$N10=""</formula>
    </cfRule>
    <cfRule type="expression" priority="200" dxfId="1">
      <formula>OR($N10="日",COUNTIF(祝日!$A$2:$A$65,DATE(($C$2+0),10,6))&gt;0)</formula>
    </cfRule>
    <cfRule type="expression" priority="201" dxfId="2">
      <formula>$N10="土"</formula>
    </cfRule>
  </conditionalFormatting>
  <conditionalFormatting sqref="P10:Q10">
    <cfRule type="expression" priority="202" dxfId="0">
      <formula>$P10=""</formula>
    </cfRule>
    <cfRule type="expression" priority="203" dxfId="1">
      <formula>OR($P10="日",COUNTIF(祝日!$A$2:$A$65,DATE(($C$2+0),11,6))&gt;0)</formula>
    </cfRule>
    <cfRule type="expression" priority="204" dxfId="2">
      <formula>$P10="土"</formula>
    </cfRule>
  </conditionalFormatting>
  <conditionalFormatting sqref="R10:S10">
    <cfRule type="expression" priority="205" dxfId="0">
      <formula>$R10=""</formula>
    </cfRule>
    <cfRule type="expression" priority="206" dxfId="1">
      <formula>OR($R10="日",COUNTIF(祝日!$A$2:$A$65,DATE(($C$2+0),12,6))&gt;0)</formula>
    </cfRule>
    <cfRule type="expression" priority="207" dxfId="2">
      <formula>$R10="土"</formula>
    </cfRule>
  </conditionalFormatting>
  <conditionalFormatting sqref="T10:U10">
    <cfRule type="expression" priority="208" dxfId="0">
      <formula>$T10=""</formula>
    </cfRule>
    <cfRule type="expression" priority="209" dxfId="1">
      <formula>OR($T10="日",COUNTIF(祝日!$A$2:$A$65,DATE(($C$2+1),1,6))&gt;0)</formula>
    </cfRule>
    <cfRule type="expression" priority="210" dxfId="2">
      <formula>$T10="土"</formula>
    </cfRule>
  </conditionalFormatting>
  <conditionalFormatting sqref="V10:W10">
    <cfRule type="expression" priority="211" dxfId="0">
      <formula>$V10=""</formula>
    </cfRule>
    <cfRule type="expression" priority="212" dxfId="1">
      <formula>OR($V10="日",COUNTIF(祝日!$A$2:$A$65,DATE(($C$2+1),2,6))&gt;0)</formula>
    </cfRule>
    <cfRule type="expression" priority="213" dxfId="2">
      <formula>$V10="土"</formula>
    </cfRule>
  </conditionalFormatting>
  <conditionalFormatting sqref="X10:Y10">
    <cfRule type="expression" priority="214" dxfId="0">
      <formula>$X10=""</formula>
    </cfRule>
    <cfRule type="expression" priority="215" dxfId="1">
      <formula>OR($X10="日",COUNTIF(祝日!$A$2:$A$65,DATE(($C$2+1),3,6))&gt;0)</formula>
    </cfRule>
    <cfRule type="expression" priority="216" dxfId="2">
      <formula>$X10="土"</formula>
    </cfRule>
  </conditionalFormatting>
  <conditionalFormatting sqref="B11:C11">
    <cfRule type="expression" priority="217" dxfId="0">
      <formula>$B11=""</formula>
    </cfRule>
    <cfRule type="expression" priority="218" dxfId="1">
      <formula>OR($B11="日",COUNTIF(祝日!$A$2:$A$65,DATE(($C$2+0),4,7))&gt;0)</formula>
    </cfRule>
    <cfRule type="expression" priority="219" dxfId="2">
      <formula>$B11="土"</formula>
    </cfRule>
  </conditionalFormatting>
  <conditionalFormatting sqref="D11:E11">
    <cfRule type="expression" priority="220" dxfId="0">
      <formula>$D11=""</formula>
    </cfRule>
    <cfRule type="expression" priority="221" dxfId="1">
      <formula>OR($D11="日",COUNTIF(祝日!$A$2:$A$65,DATE(($C$2+0),5,7))&gt;0)</formula>
    </cfRule>
    <cfRule type="expression" priority="222" dxfId="2">
      <formula>$D11="土"</formula>
    </cfRule>
  </conditionalFormatting>
  <conditionalFormatting sqref="F11:G11">
    <cfRule type="expression" priority="223" dxfId="0">
      <formula>$F11=""</formula>
    </cfRule>
    <cfRule type="expression" priority="224" dxfId="1">
      <formula>OR($F11="日",COUNTIF(祝日!$A$2:$A$65,DATE(($C$2+0),6,7))&gt;0)</formula>
    </cfRule>
    <cfRule type="expression" priority="225" dxfId="2">
      <formula>$F11="土"</formula>
    </cfRule>
  </conditionalFormatting>
  <conditionalFormatting sqref="H11:I11">
    <cfRule type="expression" priority="226" dxfId="0">
      <formula>$H11=""</formula>
    </cfRule>
    <cfRule type="expression" priority="227" dxfId="1">
      <formula>OR($H11="日",COUNTIF(祝日!$A$2:$A$65,DATE(($C$2+0),7,7))&gt;0)</formula>
    </cfRule>
    <cfRule type="expression" priority="228" dxfId="2">
      <formula>$H11="土"</formula>
    </cfRule>
  </conditionalFormatting>
  <conditionalFormatting sqref="J11:K11">
    <cfRule type="expression" priority="229" dxfId="0">
      <formula>$J11=""</formula>
    </cfRule>
    <cfRule type="expression" priority="230" dxfId="1">
      <formula>OR($J11="日",COUNTIF(祝日!$A$2:$A$65,DATE(($C$2+0),8,7))&gt;0)</formula>
    </cfRule>
    <cfRule type="expression" priority="231" dxfId="2">
      <formula>$J11="土"</formula>
    </cfRule>
  </conditionalFormatting>
  <conditionalFormatting sqref="L11:M11">
    <cfRule type="expression" priority="232" dxfId="0">
      <formula>$L11=""</formula>
    </cfRule>
    <cfRule type="expression" priority="233" dxfId="1">
      <formula>OR($L11="日",COUNTIF(祝日!$A$2:$A$65,DATE(($C$2+0),9,7))&gt;0)</formula>
    </cfRule>
    <cfRule type="expression" priority="234" dxfId="2">
      <formula>$L11="土"</formula>
    </cfRule>
  </conditionalFormatting>
  <conditionalFormatting sqref="N11:O11">
    <cfRule type="expression" priority="235" dxfId="0">
      <formula>$N11=""</formula>
    </cfRule>
    <cfRule type="expression" priority="236" dxfId="1">
      <formula>OR($N11="日",COUNTIF(祝日!$A$2:$A$65,DATE(($C$2+0),10,7))&gt;0)</formula>
    </cfRule>
    <cfRule type="expression" priority="237" dxfId="2">
      <formula>$N11="土"</formula>
    </cfRule>
  </conditionalFormatting>
  <conditionalFormatting sqref="P11:Q11">
    <cfRule type="expression" priority="238" dxfId="0">
      <formula>$P11=""</formula>
    </cfRule>
    <cfRule type="expression" priority="239" dxfId="1">
      <formula>OR($P11="日",COUNTIF(祝日!$A$2:$A$65,DATE(($C$2+0),11,7))&gt;0)</formula>
    </cfRule>
    <cfRule type="expression" priority="240" dxfId="2">
      <formula>$P11="土"</formula>
    </cfRule>
  </conditionalFormatting>
  <conditionalFormatting sqref="R11:S11">
    <cfRule type="expression" priority="241" dxfId="0">
      <formula>$R11=""</formula>
    </cfRule>
    <cfRule type="expression" priority="242" dxfId="1">
      <formula>OR($R11="日",COUNTIF(祝日!$A$2:$A$65,DATE(($C$2+0),12,7))&gt;0)</formula>
    </cfRule>
    <cfRule type="expression" priority="243" dxfId="2">
      <formula>$R11="土"</formula>
    </cfRule>
  </conditionalFormatting>
  <conditionalFormatting sqref="T11:U11">
    <cfRule type="expression" priority="244" dxfId="0">
      <formula>$T11=""</formula>
    </cfRule>
    <cfRule type="expression" priority="245" dxfId="1">
      <formula>OR($T11="日",COUNTIF(祝日!$A$2:$A$65,DATE(($C$2+1),1,7))&gt;0)</formula>
    </cfRule>
    <cfRule type="expression" priority="246" dxfId="2">
      <formula>$T11="土"</formula>
    </cfRule>
  </conditionalFormatting>
  <conditionalFormatting sqref="V11:W11">
    <cfRule type="expression" priority="247" dxfId="0">
      <formula>$V11=""</formula>
    </cfRule>
    <cfRule type="expression" priority="248" dxfId="1">
      <formula>OR($V11="日",COUNTIF(祝日!$A$2:$A$65,DATE(($C$2+1),2,7))&gt;0)</formula>
    </cfRule>
    <cfRule type="expression" priority="249" dxfId="2">
      <formula>$V11="土"</formula>
    </cfRule>
  </conditionalFormatting>
  <conditionalFormatting sqref="X11:Y11">
    <cfRule type="expression" priority="250" dxfId="0">
      <formula>$X11=""</formula>
    </cfRule>
    <cfRule type="expression" priority="251" dxfId="1">
      <formula>OR($X11="日",COUNTIF(祝日!$A$2:$A$65,DATE(($C$2+1),3,7))&gt;0)</formula>
    </cfRule>
    <cfRule type="expression" priority="252" dxfId="2">
      <formula>$X11="土"</formula>
    </cfRule>
  </conditionalFormatting>
  <conditionalFormatting sqref="B12:C12">
    <cfRule type="expression" priority="253" dxfId="0">
      <formula>$B12=""</formula>
    </cfRule>
    <cfRule type="expression" priority="254" dxfId="1">
      <formula>OR($B12="日",COUNTIF(祝日!$A$2:$A$65,DATE(($C$2+0),4,8))&gt;0)</formula>
    </cfRule>
    <cfRule type="expression" priority="255" dxfId="2">
      <formula>$B12="土"</formula>
    </cfRule>
  </conditionalFormatting>
  <conditionalFormatting sqref="D12:E12">
    <cfRule type="expression" priority="256" dxfId="0">
      <formula>$D12=""</formula>
    </cfRule>
    <cfRule type="expression" priority="257" dxfId="1">
      <formula>OR($D12="日",COUNTIF(祝日!$A$2:$A$65,DATE(($C$2+0),5,8))&gt;0)</formula>
    </cfRule>
    <cfRule type="expression" priority="258" dxfId="2">
      <formula>$D12="土"</formula>
    </cfRule>
  </conditionalFormatting>
  <conditionalFormatting sqref="F12:G12">
    <cfRule type="expression" priority="259" dxfId="0">
      <formula>$F12=""</formula>
    </cfRule>
    <cfRule type="expression" priority="260" dxfId="1">
      <formula>OR($F12="日",COUNTIF(祝日!$A$2:$A$65,DATE(($C$2+0),6,8))&gt;0)</formula>
    </cfRule>
    <cfRule type="expression" priority="261" dxfId="2">
      <formula>$F12="土"</formula>
    </cfRule>
  </conditionalFormatting>
  <conditionalFormatting sqref="H12:I12">
    <cfRule type="expression" priority="262" dxfId="0">
      <formula>$H12=""</formula>
    </cfRule>
    <cfRule type="expression" priority="263" dxfId="1">
      <formula>OR($H12="日",COUNTIF(祝日!$A$2:$A$65,DATE(($C$2+0),7,8))&gt;0)</formula>
    </cfRule>
    <cfRule type="expression" priority="264" dxfId="2">
      <formula>$H12="土"</formula>
    </cfRule>
  </conditionalFormatting>
  <conditionalFormatting sqref="J12:K12">
    <cfRule type="expression" priority="265" dxfId="0">
      <formula>$J12=""</formula>
    </cfRule>
    <cfRule type="expression" priority="266" dxfId="1">
      <formula>OR($J12="日",COUNTIF(祝日!$A$2:$A$65,DATE(($C$2+0),8,8))&gt;0)</formula>
    </cfRule>
    <cfRule type="expression" priority="267" dxfId="2">
      <formula>$J12="土"</formula>
    </cfRule>
  </conditionalFormatting>
  <conditionalFormatting sqref="L12:M12">
    <cfRule type="expression" priority="268" dxfId="0">
      <formula>$L12=""</formula>
    </cfRule>
    <cfRule type="expression" priority="269" dxfId="1">
      <formula>OR($L12="日",COUNTIF(祝日!$A$2:$A$65,DATE(($C$2+0),9,8))&gt;0)</formula>
    </cfRule>
    <cfRule type="expression" priority="270" dxfId="2">
      <formula>$L12="土"</formula>
    </cfRule>
  </conditionalFormatting>
  <conditionalFormatting sqref="N12:O12">
    <cfRule type="expression" priority="271" dxfId="0">
      <formula>$N12=""</formula>
    </cfRule>
    <cfRule type="expression" priority="272" dxfId="1">
      <formula>OR($N12="日",COUNTIF(祝日!$A$2:$A$65,DATE(($C$2+0),10,8))&gt;0)</formula>
    </cfRule>
    <cfRule type="expression" priority="273" dxfId="2">
      <formula>$N12="土"</formula>
    </cfRule>
  </conditionalFormatting>
  <conditionalFormatting sqref="P12:Q12">
    <cfRule type="expression" priority="274" dxfId="0">
      <formula>$P12=""</formula>
    </cfRule>
    <cfRule type="expression" priority="275" dxfId="1">
      <formula>OR($P12="日",COUNTIF(祝日!$A$2:$A$65,DATE(($C$2+0),11,8))&gt;0)</formula>
    </cfRule>
    <cfRule type="expression" priority="276" dxfId="2">
      <formula>$P12="土"</formula>
    </cfRule>
  </conditionalFormatting>
  <conditionalFormatting sqref="R12:S12">
    <cfRule type="expression" priority="277" dxfId="0">
      <formula>$R12=""</formula>
    </cfRule>
    <cfRule type="expression" priority="278" dxfId="1">
      <formula>OR($R12="日",COUNTIF(祝日!$A$2:$A$65,DATE(($C$2+0),12,8))&gt;0)</formula>
    </cfRule>
    <cfRule type="expression" priority="279" dxfId="2">
      <formula>$R12="土"</formula>
    </cfRule>
  </conditionalFormatting>
  <conditionalFormatting sqref="T12:U12">
    <cfRule type="expression" priority="280" dxfId="0">
      <formula>$T12=""</formula>
    </cfRule>
    <cfRule type="expression" priority="281" dxfId="1">
      <formula>OR($T12="日",COUNTIF(祝日!$A$2:$A$65,DATE(($C$2+1),1,8))&gt;0)</formula>
    </cfRule>
    <cfRule type="expression" priority="282" dxfId="2">
      <formula>$T12="土"</formula>
    </cfRule>
  </conditionalFormatting>
  <conditionalFormatting sqref="V12:W12">
    <cfRule type="expression" priority="283" dxfId="0">
      <formula>$V12=""</formula>
    </cfRule>
    <cfRule type="expression" priority="284" dxfId="1">
      <formula>OR($V12="日",COUNTIF(祝日!$A$2:$A$65,DATE(($C$2+1),2,8))&gt;0)</formula>
    </cfRule>
    <cfRule type="expression" priority="285" dxfId="2">
      <formula>$V12="土"</formula>
    </cfRule>
  </conditionalFormatting>
  <conditionalFormatting sqref="X12:Y12">
    <cfRule type="expression" priority="286" dxfId="0">
      <formula>$X12=""</formula>
    </cfRule>
    <cfRule type="expression" priority="287" dxfId="1">
      <formula>OR($X12="日",COUNTIF(祝日!$A$2:$A$65,DATE(($C$2+1),3,8))&gt;0)</formula>
    </cfRule>
    <cfRule type="expression" priority="288" dxfId="2">
      <formula>$X12="土"</formula>
    </cfRule>
  </conditionalFormatting>
  <conditionalFormatting sqref="B13:C13">
    <cfRule type="expression" priority="289" dxfId="0">
      <formula>$B13=""</formula>
    </cfRule>
    <cfRule type="expression" priority="290" dxfId="1">
      <formula>OR($B13="日",COUNTIF(祝日!$A$2:$A$65,DATE(($C$2+0),4,9))&gt;0)</formula>
    </cfRule>
    <cfRule type="expression" priority="291" dxfId="2">
      <formula>$B13="土"</formula>
    </cfRule>
  </conditionalFormatting>
  <conditionalFormatting sqref="D13:E13">
    <cfRule type="expression" priority="292" dxfId="0">
      <formula>$D13=""</formula>
    </cfRule>
    <cfRule type="expression" priority="293" dxfId="1">
      <formula>OR($D13="日",COUNTIF(祝日!$A$2:$A$65,DATE(($C$2+0),5,9))&gt;0)</formula>
    </cfRule>
    <cfRule type="expression" priority="294" dxfId="2">
      <formula>$D13="土"</formula>
    </cfRule>
  </conditionalFormatting>
  <conditionalFormatting sqref="F13:G13">
    <cfRule type="expression" priority="295" dxfId="0">
      <formula>$F13=""</formula>
    </cfRule>
    <cfRule type="expression" priority="296" dxfId="1">
      <formula>OR($F13="日",COUNTIF(祝日!$A$2:$A$65,DATE(($C$2+0),6,9))&gt;0)</formula>
    </cfRule>
    <cfRule type="expression" priority="297" dxfId="2">
      <formula>$F13="土"</formula>
    </cfRule>
  </conditionalFormatting>
  <conditionalFormatting sqref="H13:I13">
    <cfRule type="expression" priority="298" dxfId="0">
      <formula>$H13=""</formula>
    </cfRule>
    <cfRule type="expression" priority="299" dxfId="1">
      <formula>OR($H13="日",COUNTIF(祝日!$A$2:$A$65,DATE(($C$2+0),7,9))&gt;0)</formula>
    </cfRule>
    <cfRule type="expression" priority="300" dxfId="2">
      <formula>$H13="土"</formula>
    </cfRule>
  </conditionalFormatting>
  <conditionalFormatting sqref="J13:K13">
    <cfRule type="expression" priority="301" dxfId="0">
      <formula>$J13=""</formula>
    </cfRule>
    <cfRule type="expression" priority="302" dxfId="1">
      <formula>OR($J13="日",COUNTIF(祝日!$A$2:$A$65,DATE(($C$2+0),8,9))&gt;0)</formula>
    </cfRule>
    <cfRule type="expression" priority="303" dxfId="2">
      <formula>$J13="土"</formula>
    </cfRule>
  </conditionalFormatting>
  <conditionalFormatting sqref="L13:M13">
    <cfRule type="expression" priority="304" dxfId="0">
      <formula>$L13=""</formula>
    </cfRule>
    <cfRule type="expression" priority="305" dxfId="1">
      <formula>OR($L13="日",COUNTIF(祝日!$A$2:$A$65,DATE(($C$2+0),9,9))&gt;0)</formula>
    </cfRule>
    <cfRule type="expression" priority="306" dxfId="2">
      <formula>$L13="土"</formula>
    </cfRule>
  </conditionalFormatting>
  <conditionalFormatting sqref="N13:O13">
    <cfRule type="expression" priority="307" dxfId="0">
      <formula>$N13=""</formula>
    </cfRule>
    <cfRule type="expression" priority="308" dxfId="1">
      <formula>OR($N13="日",COUNTIF(祝日!$A$2:$A$65,DATE(($C$2+0),10,9))&gt;0)</formula>
    </cfRule>
    <cfRule type="expression" priority="309" dxfId="2">
      <formula>$N13="土"</formula>
    </cfRule>
  </conditionalFormatting>
  <conditionalFormatting sqref="P13:Q13">
    <cfRule type="expression" priority="310" dxfId="0">
      <formula>$P13=""</formula>
    </cfRule>
    <cfRule type="expression" priority="311" dxfId="1">
      <formula>OR($P13="日",COUNTIF(祝日!$A$2:$A$65,DATE(($C$2+0),11,9))&gt;0)</formula>
    </cfRule>
    <cfRule type="expression" priority="312" dxfId="2">
      <formula>$P13="土"</formula>
    </cfRule>
  </conditionalFormatting>
  <conditionalFormatting sqref="R13:S13">
    <cfRule type="expression" priority="313" dxfId="0">
      <formula>$R13=""</formula>
    </cfRule>
    <cfRule type="expression" priority="314" dxfId="1">
      <formula>OR($R13="日",COUNTIF(祝日!$A$2:$A$65,DATE(($C$2+0),12,9))&gt;0)</formula>
    </cfRule>
    <cfRule type="expression" priority="315" dxfId="2">
      <formula>$R13="土"</formula>
    </cfRule>
  </conditionalFormatting>
  <conditionalFormatting sqref="T13:U13">
    <cfRule type="expression" priority="316" dxfId="0">
      <formula>$T13=""</formula>
    </cfRule>
    <cfRule type="expression" priority="317" dxfId="1">
      <formula>OR($T13="日",COUNTIF(祝日!$A$2:$A$65,DATE(($C$2+1),1,9))&gt;0)</formula>
    </cfRule>
    <cfRule type="expression" priority="318" dxfId="2">
      <formula>$T13="土"</formula>
    </cfRule>
  </conditionalFormatting>
  <conditionalFormatting sqref="V13:W13">
    <cfRule type="expression" priority="319" dxfId="0">
      <formula>$V13=""</formula>
    </cfRule>
    <cfRule type="expression" priority="320" dxfId="1">
      <formula>OR($V13="日",COUNTIF(祝日!$A$2:$A$65,DATE(($C$2+1),2,9))&gt;0)</formula>
    </cfRule>
    <cfRule type="expression" priority="321" dxfId="2">
      <formula>$V13="土"</formula>
    </cfRule>
  </conditionalFormatting>
  <conditionalFormatting sqref="X13:Y13">
    <cfRule type="expression" priority="322" dxfId="0">
      <formula>$X13=""</formula>
    </cfRule>
    <cfRule type="expression" priority="323" dxfId="1">
      <formula>OR($X13="日",COUNTIF(祝日!$A$2:$A$65,DATE(($C$2+1),3,9))&gt;0)</formula>
    </cfRule>
    <cfRule type="expression" priority="324" dxfId="2">
      <formula>$X13="土"</formula>
    </cfRule>
  </conditionalFormatting>
  <conditionalFormatting sqref="B14:C14">
    <cfRule type="expression" priority="325" dxfId="0">
      <formula>$B14=""</formula>
    </cfRule>
    <cfRule type="expression" priority="326" dxfId="1">
      <formula>OR($B14="日",COUNTIF(祝日!$A$2:$A$65,DATE(($C$2+0),4,10))&gt;0)</formula>
    </cfRule>
    <cfRule type="expression" priority="327" dxfId="2">
      <formula>$B14="土"</formula>
    </cfRule>
  </conditionalFormatting>
  <conditionalFormatting sqref="D14:E14">
    <cfRule type="expression" priority="328" dxfId="0">
      <formula>$D14=""</formula>
    </cfRule>
    <cfRule type="expression" priority="329" dxfId="1">
      <formula>OR($D14="日",COUNTIF(祝日!$A$2:$A$65,DATE(($C$2+0),5,10))&gt;0)</formula>
    </cfRule>
    <cfRule type="expression" priority="330" dxfId="2">
      <formula>$D14="土"</formula>
    </cfRule>
  </conditionalFormatting>
  <conditionalFormatting sqref="F14:G14">
    <cfRule type="expression" priority="331" dxfId="0">
      <formula>$F14=""</formula>
    </cfRule>
    <cfRule type="expression" priority="332" dxfId="1">
      <formula>OR($F14="日",COUNTIF(祝日!$A$2:$A$65,DATE(($C$2+0),6,10))&gt;0)</formula>
    </cfRule>
    <cfRule type="expression" priority="333" dxfId="2">
      <formula>$F14="土"</formula>
    </cfRule>
  </conditionalFormatting>
  <conditionalFormatting sqref="H14:I14">
    <cfRule type="expression" priority="334" dxfId="0">
      <formula>$H14=""</formula>
    </cfRule>
    <cfRule type="expression" priority="335" dxfId="1">
      <formula>OR($H14="日",COUNTIF(祝日!$A$2:$A$65,DATE(($C$2+0),7,10))&gt;0)</formula>
    </cfRule>
    <cfRule type="expression" priority="336" dxfId="2">
      <formula>$H14="土"</formula>
    </cfRule>
  </conditionalFormatting>
  <conditionalFormatting sqref="J14:K14">
    <cfRule type="expression" priority="337" dxfId="0">
      <formula>$J14=""</formula>
    </cfRule>
    <cfRule type="expression" priority="338" dxfId="1">
      <formula>OR($J14="日",COUNTIF(祝日!$A$2:$A$65,DATE(($C$2+0),8,10))&gt;0)</formula>
    </cfRule>
    <cfRule type="expression" priority="339" dxfId="2">
      <formula>$J14="土"</formula>
    </cfRule>
  </conditionalFormatting>
  <conditionalFormatting sqref="L14:M14">
    <cfRule type="expression" priority="340" dxfId="0">
      <formula>$L14=""</formula>
    </cfRule>
    <cfRule type="expression" priority="341" dxfId="1">
      <formula>OR($L14="日",COUNTIF(祝日!$A$2:$A$65,DATE(($C$2+0),9,10))&gt;0)</formula>
    </cfRule>
    <cfRule type="expression" priority="342" dxfId="2">
      <formula>$L14="土"</formula>
    </cfRule>
  </conditionalFormatting>
  <conditionalFormatting sqref="N14:O14">
    <cfRule type="expression" priority="343" dxfId="0">
      <formula>$N14=""</formula>
    </cfRule>
    <cfRule type="expression" priority="344" dxfId="1">
      <formula>OR($N14="日",COUNTIF(祝日!$A$2:$A$65,DATE(($C$2+0),10,10))&gt;0)</formula>
    </cfRule>
    <cfRule type="expression" priority="345" dxfId="2">
      <formula>$N14="土"</formula>
    </cfRule>
  </conditionalFormatting>
  <conditionalFormatting sqref="P14:Q14">
    <cfRule type="expression" priority="346" dxfId="0">
      <formula>$P14=""</formula>
    </cfRule>
    <cfRule type="expression" priority="347" dxfId="1">
      <formula>OR($P14="日",COUNTIF(祝日!$A$2:$A$65,DATE(($C$2+0),11,10))&gt;0)</formula>
    </cfRule>
    <cfRule type="expression" priority="348" dxfId="2">
      <formula>$P14="土"</formula>
    </cfRule>
  </conditionalFormatting>
  <conditionalFormatting sqref="R14:S14">
    <cfRule type="expression" priority="349" dxfId="0">
      <formula>$R14=""</formula>
    </cfRule>
    <cfRule type="expression" priority="350" dxfId="1">
      <formula>OR($R14="日",COUNTIF(祝日!$A$2:$A$65,DATE(($C$2+0),12,10))&gt;0)</formula>
    </cfRule>
    <cfRule type="expression" priority="351" dxfId="2">
      <formula>$R14="土"</formula>
    </cfRule>
  </conditionalFormatting>
  <conditionalFormatting sqref="T14:U14">
    <cfRule type="expression" priority="352" dxfId="0">
      <formula>$T14=""</formula>
    </cfRule>
    <cfRule type="expression" priority="353" dxfId="1">
      <formula>OR($T14="日",COUNTIF(祝日!$A$2:$A$65,DATE(($C$2+1),1,10))&gt;0)</formula>
    </cfRule>
    <cfRule type="expression" priority="354" dxfId="2">
      <formula>$T14="土"</formula>
    </cfRule>
  </conditionalFormatting>
  <conditionalFormatting sqref="V14:W14">
    <cfRule type="expression" priority="355" dxfId="0">
      <formula>$V14=""</formula>
    </cfRule>
    <cfRule type="expression" priority="356" dxfId="1">
      <formula>OR($V14="日",COUNTIF(祝日!$A$2:$A$65,DATE(($C$2+1),2,10))&gt;0)</formula>
    </cfRule>
    <cfRule type="expression" priority="357" dxfId="2">
      <formula>$V14="土"</formula>
    </cfRule>
  </conditionalFormatting>
  <conditionalFormatting sqref="X14:Y14">
    <cfRule type="expression" priority="358" dxfId="0">
      <formula>$X14=""</formula>
    </cfRule>
    <cfRule type="expression" priority="359" dxfId="1">
      <formula>OR($X14="日",COUNTIF(祝日!$A$2:$A$65,DATE(($C$2+1),3,10))&gt;0)</formula>
    </cfRule>
    <cfRule type="expression" priority="360" dxfId="2">
      <formula>$X14="土"</formula>
    </cfRule>
  </conditionalFormatting>
  <conditionalFormatting sqref="B15:C15">
    <cfRule type="expression" priority="361" dxfId="0">
      <formula>$B15=""</formula>
    </cfRule>
    <cfRule type="expression" priority="362" dxfId="1">
      <formula>OR($B15="日",COUNTIF(祝日!$A$2:$A$65,DATE(($C$2+0),4,11))&gt;0)</formula>
    </cfRule>
    <cfRule type="expression" priority="363" dxfId="2">
      <formula>$B15="土"</formula>
    </cfRule>
  </conditionalFormatting>
  <conditionalFormatting sqref="D15:E15">
    <cfRule type="expression" priority="364" dxfId="0">
      <formula>$D15=""</formula>
    </cfRule>
    <cfRule type="expression" priority="365" dxfId="1">
      <formula>OR($D15="日",COUNTIF(祝日!$A$2:$A$65,DATE(($C$2+0),5,11))&gt;0)</formula>
    </cfRule>
    <cfRule type="expression" priority="366" dxfId="2">
      <formula>$D15="土"</formula>
    </cfRule>
  </conditionalFormatting>
  <conditionalFormatting sqref="F15:G15">
    <cfRule type="expression" priority="367" dxfId="0">
      <formula>$F15=""</formula>
    </cfRule>
    <cfRule type="expression" priority="368" dxfId="1">
      <formula>OR($F15="日",COUNTIF(祝日!$A$2:$A$65,DATE(($C$2+0),6,11))&gt;0)</formula>
    </cfRule>
    <cfRule type="expression" priority="369" dxfId="2">
      <formula>$F15="土"</formula>
    </cfRule>
  </conditionalFormatting>
  <conditionalFormatting sqref="H15:I15">
    <cfRule type="expression" priority="370" dxfId="0">
      <formula>$H15=""</formula>
    </cfRule>
    <cfRule type="expression" priority="371" dxfId="1">
      <formula>OR($H15="日",COUNTIF(祝日!$A$2:$A$65,DATE(($C$2+0),7,11))&gt;0)</formula>
    </cfRule>
    <cfRule type="expression" priority="372" dxfId="2">
      <formula>$H15="土"</formula>
    </cfRule>
  </conditionalFormatting>
  <conditionalFormatting sqref="J15:K15">
    <cfRule type="expression" priority="373" dxfId="0">
      <formula>$J15=""</formula>
    </cfRule>
    <cfRule type="expression" priority="374" dxfId="1">
      <formula>OR($J15="日",COUNTIF(祝日!$A$2:$A$65,DATE(($C$2+0),8,11))&gt;0)</formula>
    </cfRule>
    <cfRule type="expression" priority="375" dxfId="2">
      <formula>$J15="土"</formula>
    </cfRule>
  </conditionalFormatting>
  <conditionalFormatting sqref="L15:M15">
    <cfRule type="expression" priority="376" dxfId="0">
      <formula>$L15=""</formula>
    </cfRule>
    <cfRule type="expression" priority="377" dxfId="1">
      <formula>OR($L15="日",COUNTIF(祝日!$A$2:$A$65,DATE(($C$2+0),9,11))&gt;0)</formula>
    </cfRule>
    <cfRule type="expression" priority="378" dxfId="2">
      <formula>$L15="土"</formula>
    </cfRule>
  </conditionalFormatting>
  <conditionalFormatting sqref="N15:O15">
    <cfRule type="expression" priority="379" dxfId="0">
      <formula>$N15=""</formula>
    </cfRule>
    <cfRule type="expression" priority="380" dxfId="1">
      <formula>OR($N15="日",COUNTIF(祝日!$A$2:$A$65,DATE(($C$2+0),10,11))&gt;0)</formula>
    </cfRule>
    <cfRule type="expression" priority="381" dxfId="2">
      <formula>$N15="土"</formula>
    </cfRule>
  </conditionalFormatting>
  <conditionalFormatting sqref="P15:Q15">
    <cfRule type="expression" priority="382" dxfId="0">
      <formula>$P15=""</formula>
    </cfRule>
    <cfRule type="expression" priority="383" dxfId="1">
      <formula>OR($P15="日",COUNTIF(祝日!$A$2:$A$65,DATE(($C$2+0),11,11))&gt;0)</formula>
    </cfRule>
    <cfRule type="expression" priority="384" dxfId="2">
      <formula>$P15="土"</formula>
    </cfRule>
  </conditionalFormatting>
  <conditionalFormatting sqref="R15:S15">
    <cfRule type="expression" priority="385" dxfId="0">
      <formula>$R15=""</formula>
    </cfRule>
    <cfRule type="expression" priority="386" dxfId="1">
      <formula>OR($R15="日",COUNTIF(祝日!$A$2:$A$65,DATE(($C$2+0),12,11))&gt;0)</formula>
    </cfRule>
    <cfRule type="expression" priority="387" dxfId="2">
      <formula>$R15="土"</formula>
    </cfRule>
  </conditionalFormatting>
  <conditionalFormatting sqref="T15:U15">
    <cfRule type="expression" priority="388" dxfId="0">
      <formula>$T15=""</formula>
    </cfRule>
    <cfRule type="expression" priority="389" dxfId="1">
      <formula>OR($T15="日",COUNTIF(祝日!$A$2:$A$65,DATE(($C$2+1),1,11))&gt;0)</formula>
    </cfRule>
    <cfRule type="expression" priority="390" dxfId="2">
      <formula>$T15="土"</formula>
    </cfRule>
  </conditionalFormatting>
  <conditionalFormatting sqref="V15:W15">
    <cfRule type="expression" priority="391" dxfId="0">
      <formula>$V15=""</formula>
    </cfRule>
    <cfRule type="expression" priority="392" dxfId="1">
      <formula>OR($V15="日",COUNTIF(祝日!$A$2:$A$65,DATE(($C$2+1),2,11))&gt;0)</formula>
    </cfRule>
    <cfRule type="expression" priority="393" dxfId="2">
      <formula>$V15="土"</formula>
    </cfRule>
  </conditionalFormatting>
  <conditionalFormatting sqref="X15:Y15">
    <cfRule type="expression" priority="394" dxfId="0">
      <formula>$X15=""</formula>
    </cfRule>
    <cfRule type="expression" priority="395" dxfId="1">
      <formula>OR($X15="日",COUNTIF(祝日!$A$2:$A$65,DATE(($C$2+1),3,11))&gt;0)</formula>
    </cfRule>
    <cfRule type="expression" priority="396" dxfId="2">
      <formula>$X15="土"</formula>
    </cfRule>
  </conditionalFormatting>
  <conditionalFormatting sqref="B16:C16">
    <cfRule type="expression" priority="397" dxfId="0">
      <formula>$B16=""</formula>
    </cfRule>
    <cfRule type="expression" priority="398" dxfId="1">
      <formula>OR($B16="日",COUNTIF(祝日!$A$2:$A$65,DATE(($C$2+0),4,12))&gt;0)</formula>
    </cfRule>
    <cfRule type="expression" priority="399" dxfId="2">
      <formula>$B16="土"</formula>
    </cfRule>
  </conditionalFormatting>
  <conditionalFormatting sqref="D16:E16">
    <cfRule type="expression" priority="400" dxfId="0">
      <formula>$D16=""</formula>
    </cfRule>
    <cfRule type="expression" priority="401" dxfId="1">
      <formula>OR($D16="日",COUNTIF(祝日!$A$2:$A$65,DATE(($C$2+0),5,12))&gt;0)</formula>
    </cfRule>
    <cfRule type="expression" priority="402" dxfId="2">
      <formula>$D16="土"</formula>
    </cfRule>
  </conditionalFormatting>
  <conditionalFormatting sqref="F16:G16">
    <cfRule type="expression" priority="403" dxfId="0">
      <formula>$F16=""</formula>
    </cfRule>
    <cfRule type="expression" priority="404" dxfId="1">
      <formula>OR($F16="日",COUNTIF(祝日!$A$2:$A$65,DATE(($C$2+0),6,12))&gt;0)</formula>
    </cfRule>
    <cfRule type="expression" priority="405" dxfId="2">
      <formula>$F16="土"</formula>
    </cfRule>
  </conditionalFormatting>
  <conditionalFormatting sqref="H16:I16">
    <cfRule type="expression" priority="406" dxfId="0">
      <formula>$H16=""</formula>
    </cfRule>
    <cfRule type="expression" priority="407" dxfId="1">
      <formula>OR($H16="日",COUNTIF(祝日!$A$2:$A$65,DATE(($C$2+0),7,12))&gt;0)</formula>
    </cfRule>
    <cfRule type="expression" priority="408" dxfId="2">
      <formula>$H16="土"</formula>
    </cfRule>
  </conditionalFormatting>
  <conditionalFormatting sqref="J16:K16">
    <cfRule type="expression" priority="409" dxfId="0">
      <formula>$J16=""</formula>
    </cfRule>
    <cfRule type="expression" priority="410" dxfId="1">
      <formula>OR($J16="日",COUNTIF(祝日!$A$2:$A$65,DATE(($C$2+0),8,12))&gt;0)</formula>
    </cfRule>
    <cfRule type="expression" priority="411" dxfId="2">
      <formula>$J16="土"</formula>
    </cfRule>
  </conditionalFormatting>
  <conditionalFormatting sqref="L16:M16">
    <cfRule type="expression" priority="412" dxfId="0">
      <formula>$L16=""</formula>
    </cfRule>
    <cfRule type="expression" priority="413" dxfId="1">
      <formula>OR($L16="日",COUNTIF(祝日!$A$2:$A$65,DATE(($C$2+0),9,12))&gt;0)</formula>
    </cfRule>
    <cfRule type="expression" priority="414" dxfId="2">
      <formula>$L16="土"</formula>
    </cfRule>
  </conditionalFormatting>
  <conditionalFormatting sqref="N16:O16">
    <cfRule type="expression" priority="415" dxfId="0">
      <formula>$N16=""</formula>
    </cfRule>
    <cfRule type="expression" priority="416" dxfId="1">
      <formula>OR($N16="日",COUNTIF(祝日!$A$2:$A$65,DATE(($C$2+0),10,12))&gt;0)</formula>
    </cfRule>
    <cfRule type="expression" priority="417" dxfId="2">
      <formula>$N16="土"</formula>
    </cfRule>
  </conditionalFormatting>
  <conditionalFormatting sqref="P16:Q16">
    <cfRule type="expression" priority="418" dxfId="0">
      <formula>$P16=""</formula>
    </cfRule>
    <cfRule type="expression" priority="419" dxfId="1">
      <formula>OR($P16="日",COUNTIF(祝日!$A$2:$A$65,DATE(($C$2+0),11,12))&gt;0)</formula>
    </cfRule>
    <cfRule type="expression" priority="420" dxfId="2">
      <formula>$P16="土"</formula>
    </cfRule>
  </conditionalFormatting>
  <conditionalFormatting sqref="R16:S16">
    <cfRule type="expression" priority="421" dxfId="0">
      <formula>$R16=""</formula>
    </cfRule>
    <cfRule type="expression" priority="422" dxfId="1">
      <formula>OR($R16="日",COUNTIF(祝日!$A$2:$A$65,DATE(($C$2+0),12,12))&gt;0)</formula>
    </cfRule>
    <cfRule type="expression" priority="423" dxfId="2">
      <formula>$R16="土"</formula>
    </cfRule>
  </conditionalFormatting>
  <conditionalFormatting sqref="T16:U16">
    <cfRule type="expression" priority="424" dxfId="0">
      <formula>$T16=""</formula>
    </cfRule>
    <cfRule type="expression" priority="425" dxfId="1">
      <formula>OR($T16="日",COUNTIF(祝日!$A$2:$A$65,DATE(($C$2+1),1,12))&gt;0)</formula>
    </cfRule>
    <cfRule type="expression" priority="426" dxfId="2">
      <formula>$T16="土"</formula>
    </cfRule>
  </conditionalFormatting>
  <conditionalFormatting sqref="V16:W16">
    <cfRule type="expression" priority="427" dxfId="0">
      <formula>$V16=""</formula>
    </cfRule>
    <cfRule type="expression" priority="428" dxfId="1">
      <formula>OR($V16="日",COUNTIF(祝日!$A$2:$A$65,DATE(($C$2+1),2,12))&gt;0)</formula>
    </cfRule>
    <cfRule type="expression" priority="429" dxfId="2">
      <formula>$V16="土"</formula>
    </cfRule>
  </conditionalFormatting>
  <conditionalFormatting sqref="X16:Y16">
    <cfRule type="expression" priority="430" dxfId="0">
      <formula>$X16=""</formula>
    </cfRule>
    <cfRule type="expression" priority="431" dxfId="1">
      <formula>OR($X16="日",COUNTIF(祝日!$A$2:$A$65,DATE(($C$2+1),3,12))&gt;0)</formula>
    </cfRule>
    <cfRule type="expression" priority="432" dxfId="2">
      <formula>$X16="土"</formula>
    </cfRule>
  </conditionalFormatting>
  <conditionalFormatting sqref="B17:C17">
    <cfRule type="expression" priority="433" dxfId="0">
      <formula>$B17=""</formula>
    </cfRule>
    <cfRule type="expression" priority="434" dxfId="1">
      <formula>OR($B17="日",COUNTIF(祝日!$A$2:$A$65,DATE(($C$2+0),4,13))&gt;0)</formula>
    </cfRule>
    <cfRule type="expression" priority="435" dxfId="2">
      <formula>$B17="土"</formula>
    </cfRule>
  </conditionalFormatting>
  <conditionalFormatting sqref="D17:E17">
    <cfRule type="expression" priority="436" dxfId="0">
      <formula>$D17=""</formula>
    </cfRule>
    <cfRule type="expression" priority="437" dxfId="1">
      <formula>OR($D17="日",COUNTIF(祝日!$A$2:$A$65,DATE(($C$2+0),5,13))&gt;0)</formula>
    </cfRule>
    <cfRule type="expression" priority="438" dxfId="2">
      <formula>$D17="土"</formula>
    </cfRule>
  </conditionalFormatting>
  <conditionalFormatting sqref="F17:G17">
    <cfRule type="expression" priority="439" dxfId="0">
      <formula>$F17=""</formula>
    </cfRule>
    <cfRule type="expression" priority="440" dxfId="1">
      <formula>OR($F17="日",COUNTIF(祝日!$A$2:$A$65,DATE(($C$2+0),6,13))&gt;0)</formula>
    </cfRule>
    <cfRule type="expression" priority="441" dxfId="2">
      <formula>$F17="土"</formula>
    </cfRule>
  </conditionalFormatting>
  <conditionalFormatting sqref="H17:I17">
    <cfRule type="expression" priority="442" dxfId="0">
      <formula>$H17=""</formula>
    </cfRule>
    <cfRule type="expression" priority="443" dxfId="1">
      <formula>OR($H17="日",COUNTIF(祝日!$A$2:$A$65,DATE(($C$2+0),7,13))&gt;0)</formula>
    </cfRule>
    <cfRule type="expression" priority="444" dxfId="2">
      <formula>$H17="土"</formula>
    </cfRule>
  </conditionalFormatting>
  <conditionalFormatting sqref="J17:K17">
    <cfRule type="expression" priority="445" dxfId="0">
      <formula>$J17=""</formula>
    </cfRule>
    <cfRule type="expression" priority="446" dxfId="1">
      <formula>OR($J17="日",COUNTIF(祝日!$A$2:$A$65,DATE(($C$2+0),8,13))&gt;0)</formula>
    </cfRule>
    <cfRule type="expression" priority="447" dxfId="2">
      <formula>$J17="土"</formula>
    </cfRule>
  </conditionalFormatting>
  <conditionalFormatting sqref="L17:M17">
    <cfRule type="expression" priority="448" dxfId="0">
      <formula>$L17=""</formula>
    </cfRule>
    <cfRule type="expression" priority="449" dxfId="1">
      <formula>OR($L17="日",COUNTIF(祝日!$A$2:$A$65,DATE(($C$2+0),9,13))&gt;0)</formula>
    </cfRule>
    <cfRule type="expression" priority="450" dxfId="2">
      <formula>$L17="土"</formula>
    </cfRule>
  </conditionalFormatting>
  <conditionalFormatting sqref="N17:O17">
    <cfRule type="expression" priority="451" dxfId="0">
      <formula>$N17=""</formula>
    </cfRule>
    <cfRule type="expression" priority="452" dxfId="1">
      <formula>OR($N17="日",COUNTIF(祝日!$A$2:$A$65,DATE(($C$2+0),10,13))&gt;0)</formula>
    </cfRule>
    <cfRule type="expression" priority="453" dxfId="2">
      <formula>$N17="土"</formula>
    </cfRule>
  </conditionalFormatting>
  <conditionalFormatting sqref="P17:Q17">
    <cfRule type="expression" priority="454" dxfId="0">
      <formula>$P17=""</formula>
    </cfRule>
    <cfRule type="expression" priority="455" dxfId="1">
      <formula>OR($P17="日",COUNTIF(祝日!$A$2:$A$65,DATE(($C$2+0),11,13))&gt;0)</formula>
    </cfRule>
    <cfRule type="expression" priority="456" dxfId="2">
      <formula>$P17="土"</formula>
    </cfRule>
  </conditionalFormatting>
  <conditionalFormatting sqref="R17:S17">
    <cfRule type="expression" priority="457" dxfId="0">
      <formula>$R17=""</formula>
    </cfRule>
    <cfRule type="expression" priority="458" dxfId="1">
      <formula>OR($R17="日",COUNTIF(祝日!$A$2:$A$65,DATE(($C$2+0),12,13))&gt;0)</formula>
    </cfRule>
    <cfRule type="expression" priority="459" dxfId="2">
      <formula>$R17="土"</formula>
    </cfRule>
  </conditionalFormatting>
  <conditionalFormatting sqref="T17:U17">
    <cfRule type="expression" priority="460" dxfId="0">
      <formula>$T17=""</formula>
    </cfRule>
    <cfRule type="expression" priority="461" dxfId="1">
      <formula>OR($T17="日",COUNTIF(祝日!$A$2:$A$65,DATE(($C$2+1),1,13))&gt;0)</formula>
    </cfRule>
    <cfRule type="expression" priority="462" dxfId="2">
      <formula>$T17="土"</formula>
    </cfRule>
  </conditionalFormatting>
  <conditionalFormatting sqref="V17:W17">
    <cfRule type="expression" priority="463" dxfId="0">
      <formula>$V17=""</formula>
    </cfRule>
    <cfRule type="expression" priority="464" dxfId="1">
      <formula>OR($V17="日",COUNTIF(祝日!$A$2:$A$65,DATE(($C$2+1),2,13))&gt;0)</formula>
    </cfRule>
    <cfRule type="expression" priority="465" dxfId="2">
      <formula>$V17="土"</formula>
    </cfRule>
  </conditionalFormatting>
  <conditionalFormatting sqref="X17:Y17">
    <cfRule type="expression" priority="466" dxfId="0">
      <formula>$X17=""</formula>
    </cfRule>
    <cfRule type="expression" priority="467" dxfId="1">
      <formula>OR($X17="日",COUNTIF(祝日!$A$2:$A$65,DATE(($C$2+1),3,13))&gt;0)</formula>
    </cfRule>
    <cfRule type="expression" priority="468" dxfId="2">
      <formula>$X17="土"</formula>
    </cfRule>
  </conditionalFormatting>
  <conditionalFormatting sqref="B18:C18">
    <cfRule type="expression" priority="469" dxfId="0">
      <formula>$B18=""</formula>
    </cfRule>
    <cfRule type="expression" priority="470" dxfId="1">
      <formula>OR($B18="日",COUNTIF(祝日!$A$2:$A$65,DATE(($C$2+0),4,14))&gt;0)</formula>
    </cfRule>
    <cfRule type="expression" priority="471" dxfId="2">
      <formula>$B18="土"</formula>
    </cfRule>
  </conditionalFormatting>
  <conditionalFormatting sqref="D18:E18">
    <cfRule type="expression" priority="472" dxfId="0">
      <formula>$D18=""</formula>
    </cfRule>
    <cfRule type="expression" priority="473" dxfId="1">
      <formula>OR($D18="日",COUNTIF(祝日!$A$2:$A$65,DATE(($C$2+0),5,14))&gt;0)</formula>
    </cfRule>
    <cfRule type="expression" priority="474" dxfId="2">
      <formula>$D18="土"</formula>
    </cfRule>
  </conditionalFormatting>
  <conditionalFormatting sqref="F18:G18">
    <cfRule type="expression" priority="475" dxfId="0">
      <formula>$F18=""</formula>
    </cfRule>
    <cfRule type="expression" priority="476" dxfId="1">
      <formula>OR($F18="日",COUNTIF(祝日!$A$2:$A$65,DATE(($C$2+0),6,14))&gt;0)</formula>
    </cfRule>
    <cfRule type="expression" priority="477" dxfId="2">
      <formula>$F18="土"</formula>
    </cfRule>
  </conditionalFormatting>
  <conditionalFormatting sqref="H18:I18">
    <cfRule type="expression" priority="478" dxfId="0">
      <formula>$H18=""</formula>
    </cfRule>
    <cfRule type="expression" priority="479" dxfId="1">
      <formula>OR($H18="日",COUNTIF(祝日!$A$2:$A$65,DATE(($C$2+0),7,14))&gt;0)</formula>
    </cfRule>
    <cfRule type="expression" priority="480" dxfId="2">
      <formula>$H18="土"</formula>
    </cfRule>
  </conditionalFormatting>
  <conditionalFormatting sqref="J18:K18">
    <cfRule type="expression" priority="481" dxfId="0">
      <formula>$J18=""</formula>
    </cfRule>
    <cfRule type="expression" priority="482" dxfId="1">
      <formula>OR($J18="日",COUNTIF(祝日!$A$2:$A$65,DATE(($C$2+0),8,14))&gt;0)</formula>
    </cfRule>
    <cfRule type="expression" priority="483" dxfId="2">
      <formula>$J18="土"</formula>
    </cfRule>
  </conditionalFormatting>
  <conditionalFormatting sqref="L18:M18">
    <cfRule type="expression" priority="484" dxfId="0">
      <formula>$L18=""</formula>
    </cfRule>
    <cfRule type="expression" priority="485" dxfId="1">
      <formula>OR($L18="日",COUNTIF(祝日!$A$2:$A$65,DATE(($C$2+0),9,14))&gt;0)</formula>
    </cfRule>
    <cfRule type="expression" priority="486" dxfId="2">
      <formula>$L18="土"</formula>
    </cfRule>
  </conditionalFormatting>
  <conditionalFormatting sqref="N18:O18">
    <cfRule type="expression" priority="487" dxfId="0">
      <formula>$N18=""</formula>
    </cfRule>
    <cfRule type="expression" priority="488" dxfId="1">
      <formula>OR($N18="日",COUNTIF(祝日!$A$2:$A$65,DATE(($C$2+0),10,14))&gt;0)</formula>
    </cfRule>
    <cfRule type="expression" priority="489" dxfId="2">
      <formula>$N18="土"</formula>
    </cfRule>
  </conditionalFormatting>
  <conditionalFormatting sqref="P18:Q18">
    <cfRule type="expression" priority="490" dxfId="0">
      <formula>$P18=""</formula>
    </cfRule>
    <cfRule type="expression" priority="491" dxfId="1">
      <formula>OR($P18="日",COUNTIF(祝日!$A$2:$A$65,DATE(($C$2+0),11,14))&gt;0)</formula>
    </cfRule>
    <cfRule type="expression" priority="492" dxfId="2">
      <formula>$P18="土"</formula>
    </cfRule>
  </conditionalFormatting>
  <conditionalFormatting sqref="R18:S18">
    <cfRule type="expression" priority="493" dxfId="0">
      <formula>$R18=""</formula>
    </cfRule>
    <cfRule type="expression" priority="494" dxfId="1">
      <formula>OR($R18="日",COUNTIF(祝日!$A$2:$A$65,DATE(($C$2+0),12,14))&gt;0)</formula>
    </cfRule>
    <cfRule type="expression" priority="495" dxfId="2">
      <formula>$R18="土"</formula>
    </cfRule>
  </conditionalFormatting>
  <conditionalFormatting sqref="T18:U18">
    <cfRule type="expression" priority="496" dxfId="0">
      <formula>$T18=""</formula>
    </cfRule>
    <cfRule type="expression" priority="497" dxfId="1">
      <formula>OR($T18="日",COUNTIF(祝日!$A$2:$A$65,DATE(($C$2+1),1,14))&gt;0)</formula>
    </cfRule>
    <cfRule type="expression" priority="498" dxfId="2">
      <formula>$T18="土"</formula>
    </cfRule>
  </conditionalFormatting>
  <conditionalFormatting sqref="V18:W18">
    <cfRule type="expression" priority="499" dxfId="0">
      <formula>$V18=""</formula>
    </cfRule>
    <cfRule type="expression" priority="500" dxfId="1">
      <formula>OR($V18="日",COUNTIF(祝日!$A$2:$A$65,DATE(($C$2+1),2,14))&gt;0)</formula>
    </cfRule>
    <cfRule type="expression" priority="501" dxfId="2">
      <formula>$V18="土"</formula>
    </cfRule>
  </conditionalFormatting>
  <conditionalFormatting sqref="X18:Y18">
    <cfRule type="expression" priority="502" dxfId="0">
      <formula>$X18=""</formula>
    </cfRule>
    <cfRule type="expression" priority="503" dxfId="1">
      <formula>OR($X18="日",COUNTIF(祝日!$A$2:$A$65,DATE(($C$2+1),3,14))&gt;0)</formula>
    </cfRule>
    <cfRule type="expression" priority="504" dxfId="2">
      <formula>$X18="土"</formula>
    </cfRule>
  </conditionalFormatting>
  <conditionalFormatting sqref="B19:C19">
    <cfRule type="expression" priority="505" dxfId="0">
      <formula>$B19=""</formula>
    </cfRule>
    <cfRule type="expression" priority="506" dxfId="1">
      <formula>OR($B19="日",COUNTIF(祝日!$A$2:$A$65,DATE(($C$2+0),4,15))&gt;0)</formula>
    </cfRule>
    <cfRule type="expression" priority="507" dxfId="2">
      <formula>$B19="土"</formula>
    </cfRule>
  </conditionalFormatting>
  <conditionalFormatting sqref="D19:E19">
    <cfRule type="expression" priority="508" dxfId="0">
      <formula>$D19=""</formula>
    </cfRule>
    <cfRule type="expression" priority="509" dxfId="1">
      <formula>OR($D19="日",COUNTIF(祝日!$A$2:$A$65,DATE(($C$2+0),5,15))&gt;0)</formula>
    </cfRule>
    <cfRule type="expression" priority="510" dxfId="2">
      <formula>$D19="土"</formula>
    </cfRule>
  </conditionalFormatting>
  <conditionalFormatting sqref="F19:G19">
    <cfRule type="expression" priority="511" dxfId="0">
      <formula>$F19=""</formula>
    </cfRule>
    <cfRule type="expression" priority="512" dxfId="1">
      <formula>OR($F19="日",COUNTIF(祝日!$A$2:$A$65,DATE(($C$2+0),6,15))&gt;0)</formula>
    </cfRule>
    <cfRule type="expression" priority="513" dxfId="2">
      <formula>$F19="土"</formula>
    </cfRule>
  </conditionalFormatting>
  <conditionalFormatting sqref="H19:I19">
    <cfRule type="expression" priority="514" dxfId="0">
      <formula>$H19=""</formula>
    </cfRule>
    <cfRule type="expression" priority="515" dxfId="1">
      <formula>OR($H19="日",COUNTIF(祝日!$A$2:$A$65,DATE(($C$2+0),7,15))&gt;0)</formula>
    </cfRule>
    <cfRule type="expression" priority="516" dxfId="2">
      <formula>$H19="土"</formula>
    </cfRule>
  </conditionalFormatting>
  <conditionalFormatting sqref="J19:K19">
    <cfRule type="expression" priority="517" dxfId="0">
      <formula>$J19=""</formula>
    </cfRule>
    <cfRule type="expression" priority="518" dxfId="1">
      <formula>OR($J19="日",COUNTIF(祝日!$A$2:$A$65,DATE(($C$2+0),8,15))&gt;0)</formula>
    </cfRule>
    <cfRule type="expression" priority="519" dxfId="2">
      <formula>$J19="土"</formula>
    </cfRule>
  </conditionalFormatting>
  <conditionalFormatting sqref="L19:M19">
    <cfRule type="expression" priority="520" dxfId="0">
      <formula>$L19=""</formula>
    </cfRule>
    <cfRule type="expression" priority="521" dxfId="1">
      <formula>OR($L19="日",COUNTIF(祝日!$A$2:$A$65,DATE(($C$2+0),9,15))&gt;0)</formula>
    </cfRule>
    <cfRule type="expression" priority="522" dxfId="2">
      <formula>$L19="土"</formula>
    </cfRule>
  </conditionalFormatting>
  <conditionalFormatting sqref="N19:O19">
    <cfRule type="expression" priority="523" dxfId="0">
      <formula>$N19=""</formula>
    </cfRule>
    <cfRule type="expression" priority="524" dxfId="1">
      <formula>OR($N19="日",COUNTIF(祝日!$A$2:$A$65,DATE(($C$2+0),10,15))&gt;0)</formula>
    </cfRule>
    <cfRule type="expression" priority="525" dxfId="2">
      <formula>$N19="土"</formula>
    </cfRule>
  </conditionalFormatting>
  <conditionalFormatting sqref="P19:Q19">
    <cfRule type="expression" priority="526" dxfId="0">
      <formula>$P19=""</formula>
    </cfRule>
    <cfRule type="expression" priority="527" dxfId="1">
      <formula>OR($P19="日",COUNTIF(祝日!$A$2:$A$65,DATE(($C$2+0),11,15))&gt;0)</formula>
    </cfRule>
    <cfRule type="expression" priority="528" dxfId="2">
      <formula>$P19="土"</formula>
    </cfRule>
  </conditionalFormatting>
  <conditionalFormatting sqref="R19:S19">
    <cfRule type="expression" priority="529" dxfId="0">
      <formula>$R19=""</formula>
    </cfRule>
    <cfRule type="expression" priority="530" dxfId="1">
      <formula>OR($R19="日",COUNTIF(祝日!$A$2:$A$65,DATE(($C$2+0),12,15))&gt;0)</formula>
    </cfRule>
    <cfRule type="expression" priority="531" dxfId="2">
      <formula>$R19="土"</formula>
    </cfRule>
  </conditionalFormatting>
  <conditionalFormatting sqref="T19:U19">
    <cfRule type="expression" priority="532" dxfId="0">
      <formula>$T19=""</formula>
    </cfRule>
    <cfRule type="expression" priority="533" dxfId="1">
      <formula>OR($T19="日",COUNTIF(祝日!$A$2:$A$65,DATE(($C$2+1),1,15))&gt;0)</formula>
    </cfRule>
    <cfRule type="expression" priority="534" dxfId="2">
      <formula>$T19="土"</formula>
    </cfRule>
  </conditionalFormatting>
  <conditionalFormatting sqref="V19:W19">
    <cfRule type="expression" priority="535" dxfId="0">
      <formula>$V19=""</formula>
    </cfRule>
    <cfRule type="expression" priority="536" dxfId="1">
      <formula>OR($V19="日",COUNTIF(祝日!$A$2:$A$65,DATE(($C$2+1),2,15))&gt;0)</formula>
    </cfRule>
    <cfRule type="expression" priority="537" dxfId="2">
      <formula>$V19="土"</formula>
    </cfRule>
  </conditionalFormatting>
  <conditionalFormatting sqref="X19:Y19">
    <cfRule type="expression" priority="538" dxfId="0">
      <formula>$X19=""</formula>
    </cfRule>
    <cfRule type="expression" priority="539" dxfId="1">
      <formula>OR($X19="日",COUNTIF(祝日!$A$2:$A$65,DATE(($C$2+1),3,15))&gt;0)</formula>
    </cfRule>
    <cfRule type="expression" priority="540" dxfId="2">
      <formula>$X19="土"</formula>
    </cfRule>
  </conditionalFormatting>
  <conditionalFormatting sqref="B20:C20">
    <cfRule type="expression" priority="541" dxfId="0">
      <formula>$B20=""</formula>
    </cfRule>
    <cfRule type="expression" priority="542" dxfId="1">
      <formula>OR($B20="日",COUNTIF(祝日!$A$2:$A$65,DATE(($C$2+0),4,16))&gt;0)</formula>
    </cfRule>
    <cfRule type="expression" priority="543" dxfId="2">
      <formula>$B20="土"</formula>
    </cfRule>
  </conditionalFormatting>
  <conditionalFormatting sqref="D20:E20">
    <cfRule type="expression" priority="544" dxfId="0">
      <formula>$D20=""</formula>
    </cfRule>
    <cfRule type="expression" priority="545" dxfId="1">
      <formula>OR($D20="日",COUNTIF(祝日!$A$2:$A$65,DATE(($C$2+0),5,16))&gt;0)</formula>
    </cfRule>
    <cfRule type="expression" priority="546" dxfId="2">
      <formula>$D20="土"</formula>
    </cfRule>
  </conditionalFormatting>
  <conditionalFormatting sqref="F20:G20">
    <cfRule type="expression" priority="547" dxfId="0">
      <formula>$F20=""</formula>
    </cfRule>
    <cfRule type="expression" priority="548" dxfId="1">
      <formula>OR($F20="日",COUNTIF(祝日!$A$2:$A$65,DATE(($C$2+0),6,16))&gt;0)</formula>
    </cfRule>
    <cfRule type="expression" priority="549" dxfId="2">
      <formula>$F20="土"</formula>
    </cfRule>
  </conditionalFormatting>
  <conditionalFormatting sqref="H20:I20">
    <cfRule type="expression" priority="550" dxfId="0">
      <formula>$H20=""</formula>
    </cfRule>
    <cfRule type="expression" priority="551" dxfId="1">
      <formula>OR($H20="日",COUNTIF(祝日!$A$2:$A$65,DATE(($C$2+0),7,16))&gt;0)</formula>
    </cfRule>
    <cfRule type="expression" priority="552" dxfId="2">
      <formula>$H20="土"</formula>
    </cfRule>
  </conditionalFormatting>
  <conditionalFormatting sqref="J20:K20">
    <cfRule type="expression" priority="553" dxfId="0">
      <formula>$J20=""</formula>
    </cfRule>
    <cfRule type="expression" priority="554" dxfId="1">
      <formula>OR($J20="日",COUNTIF(祝日!$A$2:$A$65,DATE(($C$2+0),8,16))&gt;0)</formula>
    </cfRule>
    <cfRule type="expression" priority="555" dxfId="2">
      <formula>$J20="土"</formula>
    </cfRule>
  </conditionalFormatting>
  <conditionalFormatting sqref="L20:M20">
    <cfRule type="expression" priority="556" dxfId="0">
      <formula>$L20=""</formula>
    </cfRule>
    <cfRule type="expression" priority="557" dxfId="1">
      <formula>OR($L20="日",COUNTIF(祝日!$A$2:$A$65,DATE(($C$2+0),9,16))&gt;0)</formula>
    </cfRule>
    <cfRule type="expression" priority="558" dxfId="2">
      <formula>$L20="土"</formula>
    </cfRule>
  </conditionalFormatting>
  <conditionalFormatting sqref="N20:O20">
    <cfRule type="expression" priority="559" dxfId="0">
      <formula>$N20=""</formula>
    </cfRule>
    <cfRule type="expression" priority="560" dxfId="1">
      <formula>OR($N20="日",COUNTIF(祝日!$A$2:$A$65,DATE(($C$2+0),10,16))&gt;0)</formula>
    </cfRule>
    <cfRule type="expression" priority="561" dxfId="2">
      <formula>$N20="土"</formula>
    </cfRule>
  </conditionalFormatting>
  <conditionalFormatting sqref="P20:Q20">
    <cfRule type="expression" priority="562" dxfId="0">
      <formula>$P20=""</formula>
    </cfRule>
    <cfRule type="expression" priority="563" dxfId="1">
      <formula>OR($P20="日",COUNTIF(祝日!$A$2:$A$65,DATE(($C$2+0),11,16))&gt;0)</formula>
    </cfRule>
    <cfRule type="expression" priority="564" dxfId="2">
      <formula>$P20="土"</formula>
    </cfRule>
  </conditionalFormatting>
  <conditionalFormatting sqref="R20:S20">
    <cfRule type="expression" priority="565" dxfId="0">
      <formula>$R20=""</formula>
    </cfRule>
    <cfRule type="expression" priority="566" dxfId="1">
      <formula>OR($R20="日",COUNTIF(祝日!$A$2:$A$65,DATE(($C$2+0),12,16))&gt;0)</formula>
    </cfRule>
    <cfRule type="expression" priority="567" dxfId="2">
      <formula>$R20="土"</formula>
    </cfRule>
  </conditionalFormatting>
  <conditionalFormatting sqref="T20:U20">
    <cfRule type="expression" priority="568" dxfId="0">
      <formula>$T20=""</formula>
    </cfRule>
    <cfRule type="expression" priority="569" dxfId="1">
      <formula>OR($T20="日",COUNTIF(祝日!$A$2:$A$65,DATE(($C$2+1),1,16))&gt;0)</formula>
    </cfRule>
    <cfRule type="expression" priority="570" dxfId="2">
      <formula>$T20="土"</formula>
    </cfRule>
  </conditionalFormatting>
  <conditionalFormatting sqref="V20:W20">
    <cfRule type="expression" priority="571" dxfId="0">
      <formula>$V20=""</formula>
    </cfRule>
    <cfRule type="expression" priority="572" dxfId="1">
      <formula>OR($V20="日",COUNTIF(祝日!$A$2:$A$65,DATE(($C$2+1),2,16))&gt;0)</formula>
    </cfRule>
    <cfRule type="expression" priority="573" dxfId="2">
      <formula>$V20="土"</formula>
    </cfRule>
  </conditionalFormatting>
  <conditionalFormatting sqref="X20:Y20">
    <cfRule type="expression" priority="574" dxfId="0">
      <formula>$X20=""</formula>
    </cfRule>
    <cfRule type="expression" priority="575" dxfId="1">
      <formula>OR($X20="日",COUNTIF(祝日!$A$2:$A$65,DATE(($C$2+1),3,16))&gt;0)</formula>
    </cfRule>
    <cfRule type="expression" priority="576" dxfId="2">
      <formula>$X20="土"</formula>
    </cfRule>
  </conditionalFormatting>
  <conditionalFormatting sqref="B21:C21">
    <cfRule type="expression" priority="577" dxfId="0">
      <formula>$B21=""</formula>
    </cfRule>
    <cfRule type="expression" priority="578" dxfId="1">
      <formula>OR($B21="日",COUNTIF(祝日!$A$2:$A$65,DATE(($C$2+0),4,17))&gt;0)</formula>
    </cfRule>
    <cfRule type="expression" priority="579" dxfId="2">
      <formula>$B21="土"</formula>
    </cfRule>
  </conditionalFormatting>
  <conditionalFormatting sqref="D21:E21">
    <cfRule type="expression" priority="580" dxfId="0">
      <formula>$D21=""</formula>
    </cfRule>
    <cfRule type="expression" priority="581" dxfId="1">
      <formula>OR($D21="日",COUNTIF(祝日!$A$2:$A$65,DATE(($C$2+0),5,17))&gt;0)</formula>
    </cfRule>
    <cfRule type="expression" priority="582" dxfId="2">
      <formula>$D21="土"</formula>
    </cfRule>
  </conditionalFormatting>
  <conditionalFormatting sqref="F21:G21">
    <cfRule type="expression" priority="583" dxfId="0">
      <formula>$F21=""</formula>
    </cfRule>
    <cfRule type="expression" priority="584" dxfId="1">
      <formula>OR($F21="日",COUNTIF(祝日!$A$2:$A$65,DATE(($C$2+0),6,17))&gt;0)</formula>
    </cfRule>
    <cfRule type="expression" priority="585" dxfId="2">
      <formula>$F21="土"</formula>
    </cfRule>
  </conditionalFormatting>
  <conditionalFormatting sqref="H21:I21">
    <cfRule type="expression" priority="586" dxfId="0">
      <formula>$H21=""</formula>
    </cfRule>
    <cfRule type="expression" priority="587" dxfId="1">
      <formula>OR($H21="日",COUNTIF(祝日!$A$2:$A$65,DATE(($C$2+0),7,17))&gt;0)</formula>
    </cfRule>
    <cfRule type="expression" priority="588" dxfId="2">
      <formula>$H21="土"</formula>
    </cfRule>
  </conditionalFormatting>
  <conditionalFormatting sqref="J21:K21">
    <cfRule type="expression" priority="589" dxfId="0">
      <formula>$J21=""</formula>
    </cfRule>
    <cfRule type="expression" priority="590" dxfId="1">
      <formula>OR($J21="日",COUNTIF(祝日!$A$2:$A$65,DATE(($C$2+0),8,17))&gt;0)</formula>
    </cfRule>
    <cfRule type="expression" priority="591" dxfId="2">
      <formula>$J21="土"</formula>
    </cfRule>
  </conditionalFormatting>
  <conditionalFormatting sqref="L21:M21">
    <cfRule type="expression" priority="592" dxfId="0">
      <formula>$L21=""</formula>
    </cfRule>
    <cfRule type="expression" priority="593" dxfId="1">
      <formula>OR($L21="日",COUNTIF(祝日!$A$2:$A$65,DATE(($C$2+0),9,17))&gt;0)</formula>
    </cfRule>
    <cfRule type="expression" priority="594" dxfId="2">
      <formula>$L21="土"</formula>
    </cfRule>
  </conditionalFormatting>
  <conditionalFormatting sqref="N21:O21">
    <cfRule type="expression" priority="595" dxfId="0">
      <formula>$N21=""</formula>
    </cfRule>
    <cfRule type="expression" priority="596" dxfId="1">
      <formula>OR($N21="日",COUNTIF(祝日!$A$2:$A$65,DATE(($C$2+0),10,17))&gt;0)</formula>
    </cfRule>
    <cfRule type="expression" priority="597" dxfId="2">
      <formula>$N21="土"</formula>
    </cfRule>
  </conditionalFormatting>
  <conditionalFormatting sqref="P21:Q21">
    <cfRule type="expression" priority="598" dxfId="0">
      <formula>$P21=""</formula>
    </cfRule>
    <cfRule type="expression" priority="599" dxfId="1">
      <formula>OR($P21="日",COUNTIF(祝日!$A$2:$A$65,DATE(($C$2+0),11,17))&gt;0)</formula>
    </cfRule>
    <cfRule type="expression" priority="600" dxfId="2">
      <formula>$P21="土"</formula>
    </cfRule>
  </conditionalFormatting>
  <conditionalFormatting sqref="R21:S21">
    <cfRule type="expression" priority="601" dxfId="0">
      <formula>$R21=""</formula>
    </cfRule>
    <cfRule type="expression" priority="602" dxfId="1">
      <formula>OR($R21="日",COUNTIF(祝日!$A$2:$A$65,DATE(($C$2+0),12,17))&gt;0)</formula>
    </cfRule>
    <cfRule type="expression" priority="603" dxfId="2">
      <formula>$R21="土"</formula>
    </cfRule>
  </conditionalFormatting>
  <conditionalFormatting sqref="T21:U21">
    <cfRule type="expression" priority="604" dxfId="0">
      <formula>$T21=""</formula>
    </cfRule>
    <cfRule type="expression" priority="605" dxfId="1">
      <formula>OR($T21="日",COUNTIF(祝日!$A$2:$A$65,DATE(($C$2+1),1,17))&gt;0)</formula>
    </cfRule>
    <cfRule type="expression" priority="606" dxfId="2">
      <formula>$T21="土"</formula>
    </cfRule>
  </conditionalFormatting>
  <conditionalFormatting sqref="V21:W21">
    <cfRule type="expression" priority="607" dxfId="0">
      <formula>$V21=""</formula>
    </cfRule>
    <cfRule type="expression" priority="608" dxfId="1">
      <formula>OR($V21="日",COUNTIF(祝日!$A$2:$A$65,DATE(($C$2+1),2,17))&gt;0)</formula>
    </cfRule>
    <cfRule type="expression" priority="609" dxfId="2">
      <formula>$V21="土"</formula>
    </cfRule>
  </conditionalFormatting>
  <conditionalFormatting sqref="X21:Y21">
    <cfRule type="expression" priority="610" dxfId="0">
      <formula>$X21=""</formula>
    </cfRule>
    <cfRule type="expression" priority="611" dxfId="1">
      <formula>OR($X21="日",COUNTIF(祝日!$A$2:$A$65,DATE(($C$2+1),3,17))&gt;0)</formula>
    </cfRule>
    <cfRule type="expression" priority="612" dxfId="2">
      <formula>$X21="土"</formula>
    </cfRule>
  </conditionalFormatting>
  <conditionalFormatting sqref="B22:C22">
    <cfRule type="expression" priority="613" dxfId="0">
      <formula>$B22=""</formula>
    </cfRule>
    <cfRule type="expression" priority="614" dxfId="1">
      <formula>OR($B22="日",COUNTIF(祝日!$A$2:$A$65,DATE(($C$2+0),4,18))&gt;0)</formula>
    </cfRule>
    <cfRule type="expression" priority="615" dxfId="2">
      <formula>$B22="土"</formula>
    </cfRule>
  </conditionalFormatting>
  <conditionalFormatting sqref="D22:E22">
    <cfRule type="expression" priority="616" dxfId="0">
      <formula>$D22=""</formula>
    </cfRule>
    <cfRule type="expression" priority="617" dxfId="1">
      <formula>OR($D22="日",COUNTIF(祝日!$A$2:$A$65,DATE(($C$2+0),5,18))&gt;0)</formula>
    </cfRule>
    <cfRule type="expression" priority="618" dxfId="2">
      <formula>$D22="土"</formula>
    </cfRule>
  </conditionalFormatting>
  <conditionalFormatting sqref="F22:G22">
    <cfRule type="expression" priority="619" dxfId="0">
      <formula>$F22=""</formula>
    </cfRule>
    <cfRule type="expression" priority="620" dxfId="1">
      <formula>OR($F22="日",COUNTIF(祝日!$A$2:$A$65,DATE(($C$2+0),6,18))&gt;0)</formula>
    </cfRule>
    <cfRule type="expression" priority="621" dxfId="2">
      <formula>$F22="土"</formula>
    </cfRule>
  </conditionalFormatting>
  <conditionalFormatting sqref="H22:I22">
    <cfRule type="expression" priority="622" dxfId="0">
      <formula>$H22=""</formula>
    </cfRule>
    <cfRule type="expression" priority="623" dxfId="1">
      <formula>OR($H22="日",COUNTIF(祝日!$A$2:$A$65,DATE(($C$2+0),7,18))&gt;0)</formula>
    </cfRule>
    <cfRule type="expression" priority="624" dxfId="2">
      <formula>$H22="土"</formula>
    </cfRule>
  </conditionalFormatting>
  <conditionalFormatting sqref="J22:K22">
    <cfRule type="expression" priority="625" dxfId="0">
      <formula>$J22=""</formula>
    </cfRule>
    <cfRule type="expression" priority="626" dxfId="1">
      <formula>OR($J22="日",COUNTIF(祝日!$A$2:$A$65,DATE(($C$2+0),8,18))&gt;0)</formula>
    </cfRule>
    <cfRule type="expression" priority="627" dxfId="2">
      <formula>$J22="土"</formula>
    </cfRule>
  </conditionalFormatting>
  <conditionalFormatting sqref="L22:M22">
    <cfRule type="expression" priority="628" dxfId="0">
      <formula>$L22=""</formula>
    </cfRule>
    <cfRule type="expression" priority="629" dxfId="1">
      <formula>OR($L22="日",COUNTIF(祝日!$A$2:$A$65,DATE(($C$2+0),9,18))&gt;0)</formula>
    </cfRule>
    <cfRule type="expression" priority="630" dxfId="2">
      <formula>$L22="土"</formula>
    </cfRule>
  </conditionalFormatting>
  <conditionalFormatting sqref="N22:O22">
    <cfRule type="expression" priority="631" dxfId="0">
      <formula>$N22=""</formula>
    </cfRule>
    <cfRule type="expression" priority="632" dxfId="1">
      <formula>OR($N22="日",COUNTIF(祝日!$A$2:$A$65,DATE(($C$2+0),10,18))&gt;0)</formula>
    </cfRule>
    <cfRule type="expression" priority="633" dxfId="2">
      <formula>$N22="土"</formula>
    </cfRule>
  </conditionalFormatting>
  <conditionalFormatting sqref="P22:Q22">
    <cfRule type="expression" priority="634" dxfId="0">
      <formula>$P22=""</formula>
    </cfRule>
    <cfRule type="expression" priority="635" dxfId="1">
      <formula>OR($P22="日",COUNTIF(祝日!$A$2:$A$65,DATE(($C$2+0),11,18))&gt;0)</formula>
    </cfRule>
    <cfRule type="expression" priority="636" dxfId="2">
      <formula>$P22="土"</formula>
    </cfRule>
  </conditionalFormatting>
  <conditionalFormatting sqref="R22:S22">
    <cfRule type="expression" priority="637" dxfId="0">
      <formula>$R22=""</formula>
    </cfRule>
    <cfRule type="expression" priority="638" dxfId="1">
      <formula>OR($R22="日",COUNTIF(祝日!$A$2:$A$65,DATE(($C$2+0),12,18))&gt;0)</formula>
    </cfRule>
    <cfRule type="expression" priority="639" dxfId="2">
      <formula>$R22="土"</formula>
    </cfRule>
  </conditionalFormatting>
  <conditionalFormatting sqref="T22:U22">
    <cfRule type="expression" priority="640" dxfId="0">
      <formula>$T22=""</formula>
    </cfRule>
    <cfRule type="expression" priority="641" dxfId="1">
      <formula>OR($T22="日",COUNTIF(祝日!$A$2:$A$65,DATE(($C$2+1),1,18))&gt;0)</formula>
    </cfRule>
    <cfRule type="expression" priority="642" dxfId="2">
      <formula>$T22="土"</formula>
    </cfRule>
  </conditionalFormatting>
  <conditionalFormatting sqref="V22:W22">
    <cfRule type="expression" priority="643" dxfId="0">
      <formula>$V22=""</formula>
    </cfRule>
    <cfRule type="expression" priority="644" dxfId="1">
      <formula>OR($V22="日",COUNTIF(祝日!$A$2:$A$65,DATE(($C$2+1),2,18))&gt;0)</formula>
    </cfRule>
    <cfRule type="expression" priority="645" dxfId="2">
      <formula>$V22="土"</formula>
    </cfRule>
  </conditionalFormatting>
  <conditionalFormatting sqref="X22:Y22">
    <cfRule type="expression" priority="646" dxfId="0">
      <formula>$X22=""</formula>
    </cfRule>
    <cfRule type="expression" priority="647" dxfId="1">
      <formula>OR($X22="日",COUNTIF(祝日!$A$2:$A$65,DATE(($C$2+1),3,18))&gt;0)</formula>
    </cfRule>
    <cfRule type="expression" priority="648" dxfId="2">
      <formula>$X22="土"</formula>
    </cfRule>
  </conditionalFormatting>
  <conditionalFormatting sqref="B23:C23">
    <cfRule type="expression" priority="649" dxfId="0">
      <formula>$B23=""</formula>
    </cfRule>
    <cfRule type="expression" priority="650" dxfId="1">
      <formula>OR($B23="日",COUNTIF(祝日!$A$2:$A$65,DATE(($C$2+0),4,19))&gt;0)</formula>
    </cfRule>
    <cfRule type="expression" priority="651" dxfId="2">
      <formula>$B23="土"</formula>
    </cfRule>
  </conditionalFormatting>
  <conditionalFormatting sqref="D23:E23">
    <cfRule type="expression" priority="652" dxfId="0">
      <formula>$D23=""</formula>
    </cfRule>
    <cfRule type="expression" priority="653" dxfId="1">
      <formula>OR($D23="日",COUNTIF(祝日!$A$2:$A$65,DATE(($C$2+0),5,19))&gt;0)</formula>
    </cfRule>
    <cfRule type="expression" priority="654" dxfId="2">
      <formula>$D23="土"</formula>
    </cfRule>
  </conditionalFormatting>
  <conditionalFormatting sqref="F23:G23">
    <cfRule type="expression" priority="655" dxfId="0">
      <formula>$F23=""</formula>
    </cfRule>
    <cfRule type="expression" priority="656" dxfId="1">
      <formula>OR($F23="日",COUNTIF(祝日!$A$2:$A$65,DATE(($C$2+0),6,19))&gt;0)</formula>
    </cfRule>
    <cfRule type="expression" priority="657" dxfId="2">
      <formula>$F23="土"</formula>
    </cfRule>
  </conditionalFormatting>
  <conditionalFormatting sqref="H23:I23">
    <cfRule type="expression" priority="658" dxfId="0">
      <formula>$H23=""</formula>
    </cfRule>
    <cfRule type="expression" priority="659" dxfId="1">
      <formula>OR($H23="日",COUNTIF(祝日!$A$2:$A$65,DATE(($C$2+0),7,19))&gt;0)</formula>
    </cfRule>
    <cfRule type="expression" priority="660" dxfId="2">
      <formula>$H23="土"</formula>
    </cfRule>
  </conditionalFormatting>
  <conditionalFormatting sqref="J23:K23">
    <cfRule type="expression" priority="661" dxfId="0">
      <formula>$J23=""</formula>
    </cfRule>
    <cfRule type="expression" priority="662" dxfId="1">
      <formula>OR($J23="日",COUNTIF(祝日!$A$2:$A$65,DATE(($C$2+0),8,19))&gt;0)</formula>
    </cfRule>
    <cfRule type="expression" priority="663" dxfId="2">
      <formula>$J23="土"</formula>
    </cfRule>
  </conditionalFormatting>
  <conditionalFormatting sqref="L23:M23">
    <cfRule type="expression" priority="664" dxfId="0">
      <formula>$L23=""</formula>
    </cfRule>
    <cfRule type="expression" priority="665" dxfId="1">
      <formula>OR($L23="日",COUNTIF(祝日!$A$2:$A$65,DATE(($C$2+0),9,19))&gt;0)</formula>
    </cfRule>
    <cfRule type="expression" priority="666" dxfId="2">
      <formula>$L23="土"</formula>
    </cfRule>
  </conditionalFormatting>
  <conditionalFormatting sqref="N23:O23">
    <cfRule type="expression" priority="667" dxfId="0">
      <formula>$N23=""</formula>
    </cfRule>
    <cfRule type="expression" priority="668" dxfId="1">
      <formula>OR($N23="日",COUNTIF(祝日!$A$2:$A$65,DATE(($C$2+0),10,19))&gt;0)</formula>
    </cfRule>
    <cfRule type="expression" priority="669" dxfId="2">
      <formula>$N23="土"</formula>
    </cfRule>
  </conditionalFormatting>
  <conditionalFormatting sqref="P23:Q23">
    <cfRule type="expression" priority="670" dxfId="0">
      <formula>$P23=""</formula>
    </cfRule>
    <cfRule type="expression" priority="671" dxfId="1">
      <formula>OR($P23="日",COUNTIF(祝日!$A$2:$A$65,DATE(($C$2+0),11,19))&gt;0)</formula>
    </cfRule>
    <cfRule type="expression" priority="672" dxfId="2">
      <formula>$P23="土"</formula>
    </cfRule>
  </conditionalFormatting>
  <conditionalFormatting sqref="R23:S23">
    <cfRule type="expression" priority="673" dxfId="0">
      <formula>$R23=""</formula>
    </cfRule>
    <cfRule type="expression" priority="674" dxfId="1">
      <formula>OR($R23="日",COUNTIF(祝日!$A$2:$A$65,DATE(($C$2+0),12,19))&gt;0)</formula>
    </cfRule>
    <cfRule type="expression" priority="675" dxfId="2">
      <formula>$R23="土"</formula>
    </cfRule>
  </conditionalFormatting>
  <conditionalFormatting sqref="T23:U23">
    <cfRule type="expression" priority="676" dxfId="0">
      <formula>$T23=""</formula>
    </cfRule>
    <cfRule type="expression" priority="677" dxfId="1">
      <formula>OR($T23="日",COUNTIF(祝日!$A$2:$A$65,DATE(($C$2+1),1,19))&gt;0)</formula>
    </cfRule>
    <cfRule type="expression" priority="678" dxfId="2">
      <formula>$T23="土"</formula>
    </cfRule>
  </conditionalFormatting>
  <conditionalFormatting sqref="V23:W23">
    <cfRule type="expression" priority="679" dxfId="0">
      <formula>$V23=""</formula>
    </cfRule>
    <cfRule type="expression" priority="680" dxfId="1">
      <formula>OR($V23="日",COUNTIF(祝日!$A$2:$A$65,DATE(($C$2+1),2,19))&gt;0)</formula>
    </cfRule>
    <cfRule type="expression" priority="681" dxfId="2">
      <formula>$V23="土"</formula>
    </cfRule>
  </conditionalFormatting>
  <conditionalFormatting sqref="X23:Y23">
    <cfRule type="expression" priority="682" dxfId="0">
      <formula>$X23=""</formula>
    </cfRule>
    <cfRule type="expression" priority="683" dxfId="1">
      <formula>OR($X23="日",COUNTIF(祝日!$A$2:$A$65,DATE(($C$2+1),3,19))&gt;0)</formula>
    </cfRule>
    <cfRule type="expression" priority="684" dxfId="2">
      <formula>$X23="土"</formula>
    </cfRule>
  </conditionalFormatting>
  <conditionalFormatting sqref="B24:C24">
    <cfRule type="expression" priority="685" dxfId="0">
      <formula>$B24=""</formula>
    </cfRule>
    <cfRule type="expression" priority="686" dxfId="1">
      <formula>OR($B24="日",COUNTIF(祝日!$A$2:$A$65,DATE(($C$2+0),4,20))&gt;0)</formula>
    </cfRule>
    <cfRule type="expression" priority="687" dxfId="2">
      <formula>$B24="土"</formula>
    </cfRule>
  </conditionalFormatting>
  <conditionalFormatting sqref="D24:E24">
    <cfRule type="expression" priority="688" dxfId="0">
      <formula>$D24=""</formula>
    </cfRule>
    <cfRule type="expression" priority="689" dxfId="1">
      <formula>OR($D24="日",COUNTIF(祝日!$A$2:$A$65,DATE(($C$2+0),5,20))&gt;0)</formula>
    </cfRule>
    <cfRule type="expression" priority="690" dxfId="2">
      <formula>$D24="土"</formula>
    </cfRule>
  </conditionalFormatting>
  <conditionalFormatting sqref="F24:G24">
    <cfRule type="expression" priority="691" dxfId="0">
      <formula>$F24=""</formula>
    </cfRule>
    <cfRule type="expression" priority="692" dxfId="1">
      <formula>OR($F24="日",COUNTIF(祝日!$A$2:$A$65,DATE(($C$2+0),6,20))&gt;0)</formula>
    </cfRule>
    <cfRule type="expression" priority="693" dxfId="2">
      <formula>$F24="土"</formula>
    </cfRule>
  </conditionalFormatting>
  <conditionalFormatting sqref="H24:I24">
    <cfRule type="expression" priority="694" dxfId="0">
      <formula>$H24=""</formula>
    </cfRule>
    <cfRule type="expression" priority="695" dxfId="1">
      <formula>OR($H24="日",COUNTIF(祝日!$A$2:$A$65,DATE(($C$2+0),7,20))&gt;0)</formula>
    </cfRule>
    <cfRule type="expression" priority="696" dxfId="2">
      <formula>$H24="土"</formula>
    </cfRule>
  </conditionalFormatting>
  <conditionalFormatting sqref="J24:K24">
    <cfRule type="expression" priority="697" dxfId="0">
      <formula>$J24=""</formula>
    </cfRule>
    <cfRule type="expression" priority="698" dxfId="1">
      <formula>OR($J24="日",COUNTIF(祝日!$A$2:$A$65,DATE(($C$2+0),8,20))&gt;0)</formula>
    </cfRule>
    <cfRule type="expression" priority="699" dxfId="2">
      <formula>$J24="土"</formula>
    </cfRule>
  </conditionalFormatting>
  <conditionalFormatting sqref="L24:M24">
    <cfRule type="expression" priority="700" dxfId="0">
      <formula>$L24=""</formula>
    </cfRule>
    <cfRule type="expression" priority="701" dxfId="1">
      <formula>OR($L24="日",COUNTIF(祝日!$A$2:$A$65,DATE(($C$2+0),9,20))&gt;0)</formula>
    </cfRule>
    <cfRule type="expression" priority="702" dxfId="2">
      <formula>$L24="土"</formula>
    </cfRule>
  </conditionalFormatting>
  <conditionalFormatting sqref="N24:O24">
    <cfRule type="expression" priority="703" dxfId="0">
      <formula>$N24=""</formula>
    </cfRule>
    <cfRule type="expression" priority="704" dxfId="1">
      <formula>OR($N24="日",COUNTIF(祝日!$A$2:$A$65,DATE(($C$2+0),10,20))&gt;0)</formula>
    </cfRule>
    <cfRule type="expression" priority="705" dxfId="2">
      <formula>$N24="土"</formula>
    </cfRule>
  </conditionalFormatting>
  <conditionalFormatting sqref="P24:Q24">
    <cfRule type="expression" priority="706" dxfId="0">
      <formula>$P24=""</formula>
    </cfRule>
    <cfRule type="expression" priority="707" dxfId="1">
      <formula>OR($P24="日",COUNTIF(祝日!$A$2:$A$65,DATE(($C$2+0),11,20))&gt;0)</formula>
    </cfRule>
    <cfRule type="expression" priority="708" dxfId="2">
      <formula>$P24="土"</formula>
    </cfRule>
  </conditionalFormatting>
  <conditionalFormatting sqref="R24:S24">
    <cfRule type="expression" priority="709" dxfId="0">
      <formula>$R24=""</formula>
    </cfRule>
    <cfRule type="expression" priority="710" dxfId="1">
      <formula>OR($R24="日",COUNTIF(祝日!$A$2:$A$65,DATE(($C$2+0),12,20))&gt;0)</formula>
    </cfRule>
    <cfRule type="expression" priority="711" dxfId="2">
      <formula>$R24="土"</formula>
    </cfRule>
  </conditionalFormatting>
  <conditionalFormatting sqref="T24:U24">
    <cfRule type="expression" priority="712" dxfId="0">
      <formula>$T24=""</formula>
    </cfRule>
    <cfRule type="expression" priority="713" dxfId="1">
      <formula>OR($T24="日",COUNTIF(祝日!$A$2:$A$65,DATE(($C$2+1),1,20))&gt;0)</formula>
    </cfRule>
    <cfRule type="expression" priority="714" dxfId="2">
      <formula>$T24="土"</formula>
    </cfRule>
  </conditionalFormatting>
  <conditionalFormatting sqref="V24:W24">
    <cfRule type="expression" priority="715" dxfId="0">
      <formula>$V24=""</formula>
    </cfRule>
    <cfRule type="expression" priority="716" dxfId="1">
      <formula>OR($V24="日",COUNTIF(祝日!$A$2:$A$65,DATE(($C$2+1),2,20))&gt;0)</formula>
    </cfRule>
    <cfRule type="expression" priority="717" dxfId="2">
      <formula>$V24="土"</formula>
    </cfRule>
  </conditionalFormatting>
  <conditionalFormatting sqref="X24:Y24">
    <cfRule type="expression" priority="718" dxfId="0">
      <formula>$X24=""</formula>
    </cfRule>
    <cfRule type="expression" priority="719" dxfId="1">
      <formula>OR($X24="日",COUNTIF(祝日!$A$2:$A$65,DATE(($C$2+1),3,20))&gt;0)</formula>
    </cfRule>
    <cfRule type="expression" priority="720" dxfId="2">
      <formula>$X24="土"</formula>
    </cfRule>
  </conditionalFormatting>
  <conditionalFormatting sqref="B25:C25">
    <cfRule type="expression" priority="721" dxfId="0">
      <formula>$B25=""</formula>
    </cfRule>
    <cfRule type="expression" priority="722" dxfId="1">
      <formula>OR($B25="日",COUNTIF(祝日!$A$2:$A$65,DATE(($C$2+0),4,21))&gt;0)</formula>
    </cfRule>
    <cfRule type="expression" priority="723" dxfId="2">
      <formula>$B25="土"</formula>
    </cfRule>
  </conditionalFormatting>
  <conditionalFormatting sqref="D25:E25">
    <cfRule type="expression" priority="724" dxfId="0">
      <formula>$D25=""</formula>
    </cfRule>
    <cfRule type="expression" priority="725" dxfId="1">
      <formula>OR($D25="日",COUNTIF(祝日!$A$2:$A$65,DATE(($C$2+0),5,21))&gt;0)</formula>
    </cfRule>
    <cfRule type="expression" priority="726" dxfId="2">
      <formula>$D25="土"</formula>
    </cfRule>
  </conditionalFormatting>
  <conditionalFormatting sqref="F25:G25">
    <cfRule type="expression" priority="727" dxfId="0">
      <formula>$F25=""</formula>
    </cfRule>
    <cfRule type="expression" priority="728" dxfId="1">
      <formula>OR($F25="日",COUNTIF(祝日!$A$2:$A$65,DATE(($C$2+0),6,21))&gt;0)</formula>
    </cfRule>
    <cfRule type="expression" priority="729" dxfId="2">
      <formula>$F25="土"</formula>
    </cfRule>
  </conditionalFormatting>
  <conditionalFormatting sqref="H25:I25">
    <cfRule type="expression" priority="730" dxfId="0">
      <formula>$H25=""</formula>
    </cfRule>
    <cfRule type="expression" priority="731" dxfId="1">
      <formula>OR($H25="日",COUNTIF(祝日!$A$2:$A$65,DATE(($C$2+0),7,21))&gt;0)</formula>
    </cfRule>
    <cfRule type="expression" priority="732" dxfId="2">
      <formula>$H25="土"</formula>
    </cfRule>
  </conditionalFormatting>
  <conditionalFormatting sqref="J25:K25">
    <cfRule type="expression" priority="733" dxfId="0">
      <formula>$J25=""</formula>
    </cfRule>
    <cfRule type="expression" priority="734" dxfId="1">
      <formula>OR($J25="日",COUNTIF(祝日!$A$2:$A$65,DATE(($C$2+0),8,21))&gt;0)</formula>
    </cfRule>
    <cfRule type="expression" priority="735" dxfId="2">
      <formula>$J25="土"</formula>
    </cfRule>
  </conditionalFormatting>
  <conditionalFormatting sqref="L25:M25">
    <cfRule type="expression" priority="736" dxfId="0">
      <formula>$L25=""</formula>
    </cfRule>
    <cfRule type="expression" priority="737" dxfId="1">
      <formula>OR($L25="日",COUNTIF(祝日!$A$2:$A$65,DATE(($C$2+0),9,21))&gt;0)</formula>
    </cfRule>
    <cfRule type="expression" priority="738" dxfId="2">
      <formula>$L25="土"</formula>
    </cfRule>
  </conditionalFormatting>
  <conditionalFormatting sqref="N25:O25">
    <cfRule type="expression" priority="739" dxfId="0">
      <formula>$N25=""</formula>
    </cfRule>
    <cfRule type="expression" priority="740" dxfId="1">
      <formula>OR($N25="日",COUNTIF(祝日!$A$2:$A$65,DATE(($C$2+0),10,21))&gt;0)</formula>
    </cfRule>
    <cfRule type="expression" priority="741" dxfId="2">
      <formula>$N25="土"</formula>
    </cfRule>
  </conditionalFormatting>
  <conditionalFormatting sqref="P25:Q25">
    <cfRule type="expression" priority="742" dxfId="0">
      <formula>$P25=""</formula>
    </cfRule>
    <cfRule type="expression" priority="743" dxfId="1">
      <formula>OR($P25="日",COUNTIF(祝日!$A$2:$A$65,DATE(($C$2+0),11,21))&gt;0)</formula>
    </cfRule>
    <cfRule type="expression" priority="744" dxfId="2">
      <formula>$P25="土"</formula>
    </cfRule>
  </conditionalFormatting>
  <conditionalFormatting sqref="R25:S25">
    <cfRule type="expression" priority="745" dxfId="0">
      <formula>$R25=""</formula>
    </cfRule>
    <cfRule type="expression" priority="746" dxfId="1">
      <formula>OR($R25="日",COUNTIF(祝日!$A$2:$A$65,DATE(($C$2+0),12,21))&gt;0)</formula>
    </cfRule>
    <cfRule type="expression" priority="747" dxfId="2">
      <formula>$R25="土"</formula>
    </cfRule>
  </conditionalFormatting>
  <conditionalFormatting sqref="T25:U25">
    <cfRule type="expression" priority="748" dxfId="0">
      <formula>$T25=""</formula>
    </cfRule>
    <cfRule type="expression" priority="749" dxfId="1">
      <formula>OR($T25="日",COUNTIF(祝日!$A$2:$A$65,DATE(($C$2+1),1,21))&gt;0)</formula>
    </cfRule>
    <cfRule type="expression" priority="750" dxfId="2">
      <formula>$T25="土"</formula>
    </cfRule>
  </conditionalFormatting>
  <conditionalFormatting sqref="V25:W25">
    <cfRule type="expression" priority="751" dxfId="0">
      <formula>$V25=""</formula>
    </cfRule>
    <cfRule type="expression" priority="752" dxfId="1">
      <formula>OR($V25="日",COUNTIF(祝日!$A$2:$A$65,DATE(($C$2+1),2,21))&gt;0)</formula>
    </cfRule>
    <cfRule type="expression" priority="753" dxfId="2">
      <formula>$V25="土"</formula>
    </cfRule>
  </conditionalFormatting>
  <conditionalFormatting sqref="X25:Y25">
    <cfRule type="expression" priority="754" dxfId="0">
      <formula>$X25=""</formula>
    </cfRule>
    <cfRule type="expression" priority="755" dxfId="1">
      <formula>OR($X25="日",COUNTIF(祝日!$A$2:$A$65,DATE(($C$2+1),3,21))&gt;0)</formula>
    </cfRule>
    <cfRule type="expression" priority="756" dxfId="2">
      <formula>$X25="土"</formula>
    </cfRule>
  </conditionalFormatting>
  <conditionalFormatting sqref="B26:C26">
    <cfRule type="expression" priority="757" dxfId="0">
      <formula>$B26=""</formula>
    </cfRule>
    <cfRule type="expression" priority="758" dxfId="1">
      <formula>OR($B26="日",COUNTIF(祝日!$A$2:$A$65,DATE(($C$2+0),4,22))&gt;0)</formula>
    </cfRule>
    <cfRule type="expression" priority="759" dxfId="2">
      <formula>$B26="土"</formula>
    </cfRule>
  </conditionalFormatting>
  <conditionalFormatting sqref="D26:E26">
    <cfRule type="expression" priority="760" dxfId="0">
      <formula>$D26=""</formula>
    </cfRule>
    <cfRule type="expression" priority="761" dxfId="1">
      <formula>OR($D26="日",COUNTIF(祝日!$A$2:$A$65,DATE(($C$2+0),5,22))&gt;0)</formula>
    </cfRule>
    <cfRule type="expression" priority="762" dxfId="2">
      <formula>$D26="土"</formula>
    </cfRule>
  </conditionalFormatting>
  <conditionalFormatting sqref="F26:G26">
    <cfRule type="expression" priority="763" dxfId="0">
      <formula>$F26=""</formula>
    </cfRule>
    <cfRule type="expression" priority="764" dxfId="1">
      <formula>OR($F26="日",COUNTIF(祝日!$A$2:$A$65,DATE(($C$2+0),6,22))&gt;0)</formula>
    </cfRule>
    <cfRule type="expression" priority="765" dxfId="2">
      <formula>$F26="土"</formula>
    </cfRule>
  </conditionalFormatting>
  <conditionalFormatting sqref="H26:I26">
    <cfRule type="expression" priority="766" dxfId="0">
      <formula>$H26=""</formula>
    </cfRule>
    <cfRule type="expression" priority="767" dxfId="1">
      <formula>OR($H26="日",COUNTIF(祝日!$A$2:$A$65,DATE(($C$2+0),7,22))&gt;0)</formula>
    </cfRule>
    <cfRule type="expression" priority="768" dxfId="2">
      <formula>$H26="土"</formula>
    </cfRule>
  </conditionalFormatting>
  <conditionalFormatting sqref="J26:K26">
    <cfRule type="expression" priority="769" dxfId="0">
      <formula>$J26=""</formula>
    </cfRule>
    <cfRule type="expression" priority="770" dxfId="1">
      <formula>OR($J26="日",COUNTIF(祝日!$A$2:$A$65,DATE(($C$2+0),8,22))&gt;0)</formula>
    </cfRule>
    <cfRule type="expression" priority="771" dxfId="2">
      <formula>$J26="土"</formula>
    </cfRule>
  </conditionalFormatting>
  <conditionalFormatting sqref="L26:M26">
    <cfRule type="expression" priority="772" dxfId="0">
      <formula>$L26=""</formula>
    </cfRule>
    <cfRule type="expression" priority="773" dxfId="1">
      <formula>OR($L26="日",COUNTIF(祝日!$A$2:$A$65,DATE(($C$2+0),9,22))&gt;0)</formula>
    </cfRule>
    <cfRule type="expression" priority="774" dxfId="2">
      <formula>$L26="土"</formula>
    </cfRule>
  </conditionalFormatting>
  <conditionalFormatting sqref="N26:O26">
    <cfRule type="expression" priority="775" dxfId="0">
      <formula>$N26=""</formula>
    </cfRule>
    <cfRule type="expression" priority="776" dxfId="1">
      <formula>OR($N26="日",COUNTIF(祝日!$A$2:$A$65,DATE(($C$2+0),10,22))&gt;0)</formula>
    </cfRule>
    <cfRule type="expression" priority="777" dxfId="2">
      <formula>$N26="土"</formula>
    </cfRule>
  </conditionalFormatting>
  <conditionalFormatting sqref="P26:Q26">
    <cfRule type="expression" priority="778" dxfId="0">
      <formula>$P26=""</formula>
    </cfRule>
    <cfRule type="expression" priority="779" dxfId="1">
      <formula>OR($P26="日",COUNTIF(祝日!$A$2:$A$65,DATE(($C$2+0),11,22))&gt;0)</formula>
    </cfRule>
    <cfRule type="expression" priority="780" dxfId="2">
      <formula>$P26="土"</formula>
    </cfRule>
  </conditionalFormatting>
  <conditionalFormatting sqref="R26:S26">
    <cfRule type="expression" priority="781" dxfId="0">
      <formula>$R26=""</formula>
    </cfRule>
    <cfRule type="expression" priority="782" dxfId="1">
      <formula>OR($R26="日",COUNTIF(祝日!$A$2:$A$65,DATE(($C$2+0),12,22))&gt;0)</formula>
    </cfRule>
    <cfRule type="expression" priority="783" dxfId="2">
      <formula>$R26="土"</formula>
    </cfRule>
  </conditionalFormatting>
  <conditionalFormatting sqref="T26:U26">
    <cfRule type="expression" priority="784" dxfId="0">
      <formula>$T26=""</formula>
    </cfRule>
    <cfRule type="expression" priority="785" dxfId="1">
      <formula>OR($T26="日",COUNTIF(祝日!$A$2:$A$65,DATE(($C$2+1),1,22))&gt;0)</formula>
    </cfRule>
    <cfRule type="expression" priority="786" dxfId="2">
      <formula>$T26="土"</formula>
    </cfRule>
  </conditionalFormatting>
  <conditionalFormatting sqref="V26:W26">
    <cfRule type="expression" priority="787" dxfId="0">
      <formula>$V26=""</formula>
    </cfRule>
    <cfRule type="expression" priority="788" dxfId="1">
      <formula>OR($V26="日",COUNTIF(祝日!$A$2:$A$65,DATE(($C$2+1),2,22))&gt;0)</formula>
    </cfRule>
    <cfRule type="expression" priority="789" dxfId="2">
      <formula>$V26="土"</formula>
    </cfRule>
  </conditionalFormatting>
  <conditionalFormatting sqref="X26:Y26">
    <cfRule type="expression" priority="790" dxfId="0">
      <formula>$X26=""</formula>
    </cfRule>
    <cfRule type="expression" priority="791" dxfId="1">
      <formula>OR($X26="日",COUNTIF(祝日!$A$2:$A$65,DATE(($C$2+1),3,22))&gt;0)</formula>
    </cfRule>
    <cfRule type="expression" priority="792" dxfId="2">
      <formula>$X26="土"</formula>
    </cfRule>
  </conditionalFormatting>
  <conditionalFormatting sqref="B27:C27">
    <cfRule type="expression" priority="793" dxfId="0">
      <formula>$B27=""</formula>
    </cfRule>
    <cfRule type="expression" priority="794" dxfId="1">
      <formula>OR($B27="日",COUNTIF(祝日!$A$2:$A$65,DATE(($C$2+0),4,23))&gt;0)</formula>
    </cfRule>
    <cfRule type="expression" priority="795" dxfId="2">
      <formula>$B27="土"</formula>
    </cfRule>
  </conditionalFormatting>
  <conditionalFormatting sqref="D27:E27">
    <cfRule type="expression" priority="796" dxfId="0">
      <formula>$D27=""</formula>
    </cfRule>
    <cfRule type="expression" priority="797" dxfId="1">
      <formula>OR($D27="日",COUNTIF(祝日!$A$2:$A$65,DATE(($C$2+0),5,23))&gt;0)</formula>
    </cfRule>
    <cfRule type="expression" priority="798" dxfId="2">
      <formula>$D27="土"</formula>
    </cfRule>
  </conditionalFormatting>
  <conditionalFormatting sqref="F27:G27">
    <cfRule type="expression" priority="799" dxfId="0">
      <formula>$F27=""</formula>
    </cfRule>
    <cfRule type="expression" priority="800" dxfId="1">
      <formula>OR($F27="日",COUNTIF(祝日!$A$2:$A$65,DATE(($C$2+0),6,23))&gt;0)</formula>
    </cfRule>
    <cfRule type="expression" priority="801" dxfId="2">
      <formula>$F27="土"</formula>
    </cfRule>
  </conditionalFormatting>
  <conditionalFormatting sqref="H27:I27">
    <cfRule type="expression" priority="802" dxfId="0">
      <formula>$H27=""</formula>
    </cfRule>
    <cfRule type="expression" priority="803" dxfId="1">
      <formula>OR($H27="日",COUNTIF(祝日!$A$2:$A$65,DATE(($C$2+0),7,23))&gt;0)</formula>
    </cfRule>
    <cfRule type="expression" priority="804" dxfId="2">
      <formula>$H27="土"</formula>
    </cfRule>
  </conditionalFormatting>
  <conditionalFormatting sqref="J27:K27">
    <cfRule type="expression" priority="805" dxfId="0">
      <formula>$J27=""</formula>
    </cfRule>
    <cfRule type="expression" priority="806" dxfId="1">
      <formula>OR($J27="日",COUNTIF(祝日!$A$2:$A$65,DATE(($C$2+0),8,23))&gt;0)</formula>
    </cfRule>
    <cfRule type="expression" priority="807" dxfId="2">
      <formula>$J27="土"</formula>
    </cfRule>
  </conditionalFormatting>
  <conditionalFormatting sqref="L27:M27">
    <cfRule type="expression" priority="808" dxfId="0">
      <formula>$L27=""</formula>
    </cfRule>
    <cfRule type="expression" priority="809" dxfId="1">
      <formula>OR($L27="日",COUNTIF(祝日!$A$2:$A$65,DATE(($C$2+0),9,23))&gt;0)</formula>
    </cfRule>
    <cfRule type="expression" priority="810" dxfId="2">
      <formula>$L27="土"</formula>
    </cfRule>
  </conditionalFormatting>
  <conditionalFormatting sqref="N27:O27">
    <cfRule type="expression" priority="811" dxfId="0">
      <formula>$N27=""</formula>
    </cfRule>
    <cfRule type="expression" priority="812" dxfId="1">
      <formula>OR($N27="日",COUNTIF(祝日!$A$2:$A$65,DATE(($C$2+0),10,23))&gt;0)</formula>
    </cfRule>
    <cfRule type="expression" priority="813" dxfId="2">
      <formula>$N27="土"</formula>
    </cfRule>
  </conditionalFormatting>
  <conditionalFormatting sqref="P27:Q27">
    <cfRule type="expression" priority="814" dxfId="0">
      <formula>$P27=""</formula>
    </cfRule>
    <cfRule type="expression" priority="815" dxfId="1">
      <formula>OR($P27="日",COUNTIF(祝日!$A$2:$A$65,DATE(($C$2+0),11,23))&gt;0)</formula>
    </cfRule>
    <cfRule type="expression" priority="816" dxfId="2">
      <formula>$P27="土"</formula>
    </cfRule>
  </conditionalFormatting>
  <conditionalFormatting sqref="R27:S27">
    <cfRule type="expression" priority="817" dxfId="0">
      <formula>$R27=""</formula>
    </cfRule>
    <cfRule type="expression" priority="818" dxfId="1">
      <formula>OR($R27="日",COUNTIF(祝日!$A$2:$A$65,DATE(($C$2+0),12,23))&gt;0)</formula>
    </cfRule>
    <cfRule type="expression" priority="819" dxfId="2">
      <formula>$R27="土"</formula>
    </cfRule>
  </conditionalFormatting>
  <conditionalFormatting sqref="T27:U27">
    <cfRule type="expression" priority="820" dxfId="0">
      <formula>$T27=""</formula>
    </cfRule>
    <cfRule type="expression" priority="821" dxfId="1">
      <formula>OR($T27="日",COUNTIF(祝日!$A$2:$A$65,DATE(($C$2+1),1,23))&gt;0)</formula>
    </cfRule>
    <cfRule type="expression" priority="822" dxfId="2">
      <formula>$T27="土"</formula>
    </cfRule>
  </conditionalFormatting>
  <conditionalFormatting sqref="V27:W27">
    <cfRule type="expression" priority="823" dxfId="0">
      <formula>$V27=""</formula>
    </cfRule>
    <cfRule type="expression" priority="824" dxfId="1">
      <formula>OR($V27="日",COUNTIF(祝日!$A$2:$A$65,DATE(($C$2+1),2,23))&gt;0)</formula>
    </cfRule>
    <cfRule type="expression" priority="825" dxfId="2">
      <formula>$V27="土"</formula>
    </cfRule>
  </conditionalFormatting>
  <conditionalFormatting sqref="X27:Y27">
    <cfRule type="expression" priority="826" dxfId="0">
      <formula>$X27=""</formula>
    </cfRule>
    <cfRule type="expression" priority="827" dxfId="1">
      <formula>OR($X27="日",COUNTIF(祝日!$A$2:$A$65,DATE(($C$2+1),3,23))&gt;0)</formula>
    </cfRule>
    <cfRule type="expression" priority="828" dxfId="2">
      <formula>$X27="土"</formula>
    </cfRule>
  </conditionalFormatting>
  <conditionalFormatting sqref="B28:C28">
    <cfRule type="expression" priority="829" dxfId="0">
      <formula>$B28=""</formula>
    </cfRule>
    <cfRule type="expression" priority="830" dxfId="1">
      <formula>OR($B28="日",COUNTIF(祝日!$A$2:$A$65,DATE(($C$2+0),4,24))&gt;0)</formula>
    </cfRule>
    <cfRule type="expression" priority="831" dxfId="2">
      <formula>$B28="土"</formula>
    </cfRule>
  </conditionalFormatting>
  <conditionalFormatting sqref="D28:E28">
    <cfRule type="expression" priority="832" dxfId="0">
      <formula>$D28=""</formula>
    </cfRule>
    <cfRule type="expression" priority="833" dxfId="1">
      <formula>OR($D28="日",COUNTIF(祝日!$A$2:$A$65,DATE(($C$2+0),5,24))&gt;0)</formula>
    </cfRule>
    <cfRule type="expression" priority="834" dxfId="2">
      <formula>$D28="土"</formula>
    </cfRule>
  </conditionalFormatting>
  <conditionalFormatting sqref="F28:G28">
    <cfRule type="expression" priority="835" dxfId="0">
      <formula>$F28=""</formula>
    </cfRule>
    <cfRule type="expression" priority="836" dxfId="1">
      <formula>OR($F28="日",COUNTIF(祝日!$A$2:$A$65,DATE(($C$2+0),6,24))&gt;0)</formula>
    </cfRule>
    <cfRule type="expression" priority="837" dxfId="2">
      <formula>$F28="土"</formula>
    </cfRule>
  </conditionalFormatting>
  <conditionalFormatting sqref="H28:I28">
    <cfRule type="expression" priority="838" dxfId="0">
      <formula>$H28=""</formula>
    </cfRule>
    <cfRule type="expression" priority="839" dxfId="1">
      <formula>OR($H28="日",COUNTIF(祝日!$A$2:$A$65,DATE(($C$2+0),7,24))&gt;0)</formula>
    </cfRule>
    <cfRule type="expression" priority="840" dxfId="2">
      <formula>$H28="土"</formula>
    </cfRule>
  </conditionalFormatting>
  <conditionalFormatting sqref="J28:K28">
    <cfRule type="expression" priority="841" dxfId="0">
      <formula>$J28=""</formula>
    </cfRule>
    <cfRule type="expression" priority="842" dxfId="1">
      <formula>OR($J28="日",COUNTIF(祝日!$A$2:$A$65,DATE(($C$2+0),8,24))&gt;0)</formula>
    </cfRule>
    <cfRule type="expression" priority="843" dxfId="2">
      <formula>$J28="土"</formula>
    </cfRule>
  </conditionalFormatting>
  <conditionalFormatting sqref="L28:M28">
    <cfRule type="expression" priority="844" dxfId="0">
      <formula>$L28=""</formula>
    </cfRule>
    <cfRule type="expression" priority="845" dxfId="1">
      <formula>OR($L28="日",COUNTIF(祝日!$A$2:$A$65,DATE(($C$2+0),9,24))&gt;0)</formula>
    </cfRule>
    <cfRule type="expression" priority="846" dxfId="2">
      <formula>$L28="土"</formula>
    </cfRule>
  </conditionalFormatting>
  <conditionalFormatting sqref="N28:O28">
    <cfRule type="expression" priority="847" dxfId="0">
      <formula>$N28=""</formula>
    </cfRule>
    <cfRule type="expression" priority="848" dxfId="1">
      <formula>OR($N28="日",COUNTIF(祝日!$A$2:$A$65,DATE(($C$2+0),10,24))&gt;0)</formula>
    </cfRule>
    <cfRule type="expression" priority="849" dxfId="2">
      <formula>$N28="土"</formula>
    </cfRule>
  </conditionalFormatting>
  <conditionalFormatting sqref="P28:Q28">
    <cfRule type="expression" priority="850" dxfId="0">
      <formula>$P28=""</formula>
    </cfRule>
    <cfRule type="expression" priority="851" dxfId="1">
      <formula>OR($P28="日",COUNTIF(祝日!$A$2:$A$65,DATE(($C$2+0),11,24))&gt;0)</formula>
    </cfRule>
    <cfRule type="expression" priority="852" dxfId="2">
      <formula>$P28="土"</formula>
    </cfRule>
  </conditionalFormatting>
  <conditionalFormatting sqref="R28:S28">
    <cfRule type="expression" priority="853" dxfId="0">
      <formula>$R28=""</formula>
    </cfRule>
    <cfRule type="expression" priority="854" dxfId="1">
      <formula>OR($R28="日",COUNTIF(祝日!$A$2:$A$65,DATE(($C$2+0),12,24))&gt;0)</formula>
    </cfRule>
    <cfRule type="expression" priority="855" dxfId="2">
      <formula>$R28="土"</formula>
    </cfRule>
  </conditionalFormatting>
  <conditionalFormatting sqref="T28:U28">
    <cfRule type="expression" priority="856" dxfId="0">
      <formula>$T28=""</formula>
    </cfRule>
    <cfRule type="expression" priority="857" dxfId="1">
      <formula>OR($T28="日",COUNTIF(祝日!$A$2:$A$65,DATE(($C$2+1),1,24))&gt;0)</formula>
    </cfRule>
    <cfRule type="expression" priority="858" dxfId="2">
      <formula>$T28="土"</formula>
    </cfRule>
  </conditionalFormatting>
  <conditionalFormatting sqref="V28:W28">
    <cfRule type="expression" priority="859" dxfId="0">
      <formula>$V28=""</formula>
    </cfRule>
    <cfRule type="expression" priority="860" dxfId="1">
      <formula>OR($V28="日",COUNTIF(祝日!$A$2:$A$65,DATE(($C$2+1),2,24))&gt;0)</formula>
    </cfRule>
    <cfRule type="expression" priority="861" dxfId="2">
      <formula>$V28="土"</formula>
    </cfRule>
  </conditionalFormatting>
  <conditionalFormatting sqref="X28:Y28">
    <cfRule type="expression" priority="862" dxfId="0">
      <formula>$X28=""</formula>
    </cfRule>
    <cfRule type="expression" priority="863" dxfId="1">
      <formula>OR($X28="日",COUNTIF(祝日!$A$2:$A$65,DATE(($C$2+1),3,24))&gt;0)</formula>
    </cfRule>
    <cfRule type="expression" priority="864" dxfId="2">
      <formula>$X28="土"</formula>
    </cfRule>
  </conditionalFormatting>
  <conditionalFormatting sqref="B29:C29">
    <cfRule type="expression" priority="865" dxfId="0">
      <formula>$B29=""</formula>
    </cfRule>
    <cfRule type="expression" priority="866" dxfId="1">
      <formula>OR($B29="日",COUNTIF(祝日!$A$2:$A$65,DATE(($C$2+0),4,25))&gt;0)</formula>
    </cfRule>
    <cfRule type="expression" priority="867" dxfId="2">
      <formula>$B29="土"</formula>
    </cfRule>
  </conditionalFormatting>
  <conditionalFormatting sqref="D29:E29">
    <cfRule type="expression" priority="868" dxfId="0">
      <formula>$D29=""</formula>
    </cfRule>
    <cfRule type="expression" priority="869" dxfId="1">
      <formula>OR($D29="日",COUNTIF(祝日!$A$2:$A$65,DATE(($C$2+0),5,25))&gt;0)</formula>
    </cfRule>
    <cfRule type="expression" priority="870" dxfId="2">
      <formula>$D29="土"</formula>
    </cfRule>
  </conditionalFormatting>
  <conditionalFormatting sqref="F29:G29">
    <cfRule type="expression" priority="871" dxfId="0">
      <formula>$F29=""</formula>
    </cfRule>
    <cfRule type="expression" priority="872" dxfId="1">
      <formula>OR($F29="日",COUNTIF(祝日!$A$2:$A$65,DATE(($C$2+0),6,25))&gt;0)</formula>
    </cfRule>
    <cfRule type="expression" priority="873" dxfId="2">
      <formula>$F29="土"</formula>
    </cfRule>
  </conditionalFormatting>
  <conditionalFormatting sqref="H29:I29">
    <cfRule type="expression" priority="874" dxfId="0">
      <formula>$H29=""</formula>
    </cfRule>
    <cfRule type="expression" priority="875" dxfId="1">
      <formula>OR($H29="日",COUNTIF(祝日!$A$2:$A$65,DATE(($C$2+0),7,25))&gt;0)</formula>
    </cfRule>
    <cfRule type="expression" priority="876" dxfId="2">
      <formula>$H29="土"</formula>
    </cfRule>
  </conditionalFormatting>
  <conditionalFormatting sqref="J29:K29">
    <cfRule type="expression" priority="877" dxfId="0">
      <formula>$J29=""</formula>
    </cfRule>
    <cfRule type="expression" priority="878" dxfId="1">
      <formula>OR($J29="日",COUNTIF(祝日!$A$2:$A$65,DATE(($C$2+0),8,25))&gt;0)</formula>
    </cfRule>
    <cfRule type="expression" priority="879" dxfId="2">
      <formula>$J29="土"</formula>
    </cfRule>
  </conditionalFormatting>
  <conditionalFormatting sqref="L29:M29">
    <cfRule type="expression" priority="880" dxfId="0">
      <formula>$L29=""</formula>
    </cfRule>
    <cfRule type="expression" priority="881" dxfId="1">
      <formula>OR($L29="日",COUNTIF(祝日!$A$2:$A$65,DATE(($C$2+0),9,25))&gt;0)</formula>
    </cfRule>
    <cfRule type="expression" priority="882" dxfId="2">
      <formula>$L29="土"</formula>
    </cfRule>
  </conditionalFormatting>
  <conditionalFormatting sqref="N29:O29">
    <cfRule type="expression" priority="883" dxfId="0">
      <formula>$N29=""</formula>
    </cfRule>
    <cfRule type="expression" priority="884" dxfId="1">
      <formula>OR($N29="日",COUNTIF(祝日!$A$2:$A$65,DATE(($C$2+0),10,25))&gt;0)</formula>
    </cfRule>
    <cfRule type="expression" priority="885" dxfId="2">
      <formula>$N29="土"</formula>
    </cfRule>
  </conditionalFormatting>
  <conditionalFormatting sqref="P29:Q29">
    <cfRule type="expression" priority="886" dxfId="0">
      <formula>$P29=""</formula>
    </cfRule>
    <cfRule type="expression" priority="887" dxfId="1">
      <formula>OR($P29="日",COUNTIF(祝日!$A$2:$A$65,DATE(($C$2+0),11,25))&gt;0)</formula>
    </cfRule>
    <cfRule type="expression" priority="888" dxfId="2">
      <formula>$P29="土"</formula>
    </cfRule>
  </conditionalFormatting>
  <conditionalFormatting sqref="R29:S29">
    <cfRule type="expression" priority="889" dxfId="0">
      <formula>$R29=""</formula>
    </cfRule>
    <cfRule type="expression" priority="890" dxfId="1">
      <formula>OR($R29="日",COUNTIF(祝日!$A$2:$A$65,DATE(($C$2+0),12,25))&gt;0)</formula>
    </cfRule>
    <cfRule type="expression" priority="891" dxfId="2">
      <formula>$R29="土"</formula>
    </cfRule>
  </conditionalFormatting>
  <conditionalFormatting sqref="T29:U29">
    <cfRule type="expression" priority="892" dxfId="0">
      <formula>$T29=""</formula>
    </cfRule>
    <cfRule type="expression" priority="893" dxfId="1">
      <formula>OR($T29="日",COUNTIF(祝日!$A$2:$A$65,DATE(($C$2+1),1,25))&gt;0)</formula>
    </cfRule>
    <cfRule type="expression" priority="894" dxfId="2">
      <formula>$T29="土"</formula>
    </cfRule>
  </conditionalFormatting>
  <conditionalFormatting sqref="V29:W29">
    <cfRule type="expression" priority="895" dxfId="0">
      <formula>$V29=""</formula>
    </cfRule>
    <cfRule type="expression" priority="896" dxfId="1">
      <formula>OR($V29="日",COUNTIF(祝日!$A$2:$A$65,DATE(($C$2+1),2,25))&gt;0)</formula>
    </cfRule>
    <cfRule type="expression" priority="897" dxfId="2">
      <formula>$V29="土"</formula>
    </cfRule>
  </conditionalFormatting>
  <conditionalFormatting sqref="X29:Y29">
    <cfRule type="expression" priority="898" dxfId="0">
      <formula>$X29=""</formula>
    </cfRule>
    <cfRule type="expression" priority="899" dxfId="1">
      <formula>OR($X29="日",COUNTIF(祝日!$A$2:$A$65,DATE(($C$2+1),3,25))&gt;0)</formula>
    </cfRule>
    <cfRule type="expression" priority="900" dxfId="2">
      <formula>$X29="土"</formula>
    </cfRule>
  </conditionalFormatting>
  <conditionalFormatting sqref="B30:C30">
    <cfRule type="expression" priority="901" dxfId="0">
      <formula>$B30=""</formula>
    </cfRule>
    <cfRule type="expression" priority="902" dxfId="1">
      <formula>OR($B30="日",COUNTIF(祝日!$A$2:$A$65,DATE(($C$2+0),4,26))&gt;0)</formula>
    </cfRule>
    <cfRule type="expression" priority="903" dxfId="2">
      <formula>$B30="土"</formula>
    </cfRule>
  </conditionalFormatting>
  <conditionalFormatting sqref="D30:E30">
    <cfRule type="expression" priority="904" dxfId="0">
      <formula>$D30=""</formula>
    </cfRule>
    <cfRule type="expression" priority="905" dxfId="1">
      <formula>OR($D30="日",COUNTIF(祝日!$A$2:$A$65,DATE(($C$2+0),5,26))&gt;0)</formula>
    </cfRule>
    <cfRule type="expression" priority="906" dxfId="2">
      <formula>$D30="土"</formula>
    </cfRule>
  </conditionalFormatting>
  <conditionalFormatting sqref="F30:G30">
    <cfRule type="expression" priority="907" dxfId="0">
      <formula>$F30=""</formula>
    </cfRule>
    <cfRule type="expression" priority="908" dxfId="1">
      <formula>OR($F30="日",COUNTIF(祝日!$A$2:$A$65,DATE(($C$2+0),6,26))&gt;0)</formula>
    </cfRule>
    <cfRule type="expression" priority="909" dxfId="2">
      <formula>$F30="土"</formula>
    </cfRule>
  </conditionalFormatting>
  <conditionalFormatting sqref="H30:I30">
    <cfRule type="expression" priority="910" dxfId="0">
      <formula>$H30=""</formula>
    </cfRule>
    <cfRule type="expression" priority="911" dxfId="1">
      <formula>OR($H30="日",COUNTIF(祝日!$A$2:$A$65,DATE(($C$2+0),7,26))&gt;0)</formula>
    </cfRule>
    <cfRule type="expression" priority="912" dxfId="2">
      <formula>$H30="土"</formula>
    </cfRule>
  </conditionalFormatting>
  <conditionalFormatting sqref="J30:K30">
    <cfRule type="expression" priority="913" dxfId="0">
      <formula>$J30=""</formula>
    </cfRule>
    <cfRule type="expression" priority="914" dxfId="1">
      <formula>OR($J30="日",COUNTIF(祝日!$A$2:$A$65,DATE(($C$2+0),8,26))&gt;0)</formula>
    </cfRule>
    <cfRule type="expression" priority="915" dxfId="2">
      <formula>$J30="土"</formula>
    </cfRule>
  </conditionalFormatting>
  <conditionalFormatting sqref="L30:M30">
    <cfRule type="expression" priority="916" dxfId="0">
      <formula>$L30=""</formula>
    </cfRule>
    <cfRule type="expression" priority="917" dxfId="1">
      <formula>OR($L30="日",COUNTIF(祝日!$A$2:$A$65,DATE(($C$2+0),9,26))&gt;0)</formula>
    </cfRule>
    <cfRule type="expression" priority="918" dxfId="2">
      <formula>$L30="土"</formula>
    </cfRule>
  </conditionalFormatting>
  <conditionalFormatting sqref="N30:O30">
    <cfRule type="expression" priority="919" dxfId="0">
      <formula>$N30=""</formula>
    </cfRule>
    <cfRule type="expression" priority="920" dxfId="1">
      <formula>OR($N30="日",COUNTIF(祝日!$A$2:$A$65,DATE(($C$2+0),10,26))&gt;0)</formula>
    </cfRule>
    <cfRule type="expression" priority="921" dxfId="2">
      <formula>$N30="土"</formula>
    </cfRule>
  </conditionalFormatting>
  <conditionalFormatting sqref="P30:Q30">
    <cfRule type="expression" priority="922" dxfId="0">
      <formula>$P30=""</formula>
    </cfRule>
    <cfRule type="expression" priority="923" dxfId="1">
      <formula>OR($P30="日",COUNTIF(祝日!$A$2:$A$65,DATE(($C$2+0),11,26))&gt;0)</formula>
    </cfRule>
    <cfRule type="expression" priority="924" dxfId="2">
      <formula>$P30="土"</formula>
    </cfRule>
  </conditionalFormatting>
  <conditionalFormatting sqref="R30:S30">
    <cfRule type="expression" priority="925" dxfId="0">
      <formula>$R30=""</formula>
    </cfRule>
    <cfRule type="expression" priority="926" dxfId="1">
      <formula>OR($R30="日",COUNTIF(祝日!$A$2:$A$65,DATE(($C$2+0),12,26))&gt;0)</formula>
    </cfRule>
    <cfRule type="expression" priority="927" dxfId="2">
      <formula>$R30="土"</formula>
    </cfRule>
  </conditionalFormatting>
  <conditionalFormatting sqref="T30:U30">
    <cfRule type="expression" priority="928" dxfId="0">
      <formula>$T30=""</formula>
    </cfRule>
    <cfRule type="expression" priority="929" dxfId="1">
      <formula>OR($T30="日",COUNTIF(祝日!$A$2:$A$65,DATE(($C$2+1),1,26))&gt;0)</formula>
    </cfRule>
    <cfRule type="expression" priority="930" dxfId="2">
      <formula>$T30="土"</formula>
    </cfRule>
  </conditionalFormatting>
  <conditionalFormatting sqref="V30:W30">
    <cfRule type="expression" priority="931" dxfId="0">
      <formula>$V30=""</formula>
    </cfRule>
    <cfRule type="expression" priority="932" dxfId="1">
      <formula>OR($V30="日",COUNTIF(祝日!$A$2:$A$65,DATE(($C$2+1),2,26))&gt;0)</formula>
    </cfRule>
    <cfRule type="expression" priority="933" dxfId="2">
      <formula>$V30="土"</formula>
    </cfRule>
  </conditionalFormatting>
  <conditionalFormatting sqref="X30:Y30">
    <cfRule type="expression" priority="934" dxfId="0">
      <formula>$X30=""</formula>
    </cfRule>
    <cfRule type="expression" priority="935" dxfId="1">
      <formula>OR($X30="日",COUNTIF(祝日!$A$2:$A$65,DATE(($C$2+1),3,26))&gt;0)</formula>
    </cfRule>
    <cfRule type="expression" priority="936" dxfId="2">
      <formula>$X30="土"</formula>
    </cfRule>
  </conditionalFormatting>
  <conditionalFormatting sqref="B31:C31">
    <cfRule type="expression" priority="937" dxfId="0">
      <formula>$B31=""</formula>
    </cfRule>
    <cfRule type="expression" priority="938" dxfId="1">
      <formula>OR($B31="日",COUNTIF(祝日!$A$2:$A$65,DATE(($C$2+0),4,27))&gt;0)</formula>
    </cfRule>
    <cfRule type="expression" priority="939" dxfId="2">
      <formula>$B31="土"</formula>
    </cfRule>
  </conditionalFormatting>
  <conditionalFormatting sqref="D31:E31">
    <cfRule type="expression" priority="940" dxfId="0">
      <formula>$D31=""</formula>
    </cfRule>
    <cfRule type="expression" priority="941" dxfId="1">
      <formula>OR($D31="日",COUNTIF(祝日!$A$2:$A$65,DATE(($C$2+0),5,27))&gt;0)</formula>
    </cfRule>
    <cfRule type="expression" priority="942" dxfId="2">
      <formula>$D31="土"</formula>
    </cfRule>
  </conditionalFormatting>
  <conditionalFormatting sqref="F31:G31">
    <cfRule type="expression" priority="943" dxfId="0">
      <formula>$F31=""</formula>
    </cfRule>
    <cfRule type="expression" priority="944" dxfId="1">
      <formula>OR($F31="日",COUNTIF(祝日!$A$2:$A$65,DATE(($C$2+0),6,27))&gt;0)</formula>
    </cfRule>
    <cfRule type="expression" priority="945" dxfId="2">
      <formula>$F31="土"</formula>
    </cfRule>
  </conditionalFormatting>
  <conditionalFormatting sqref="H31:I31">
    <cfRule type="expression" priority="946" dxfId="0">
      <formula>$H31=""</formula>
    </cfRule>
    <cfRule type="expression" priority="947" dxfId="1">
      <formula>OR($H31="日",COUNTIF(祝日!$A$2:$A$65,DATE(($C$2+0),7,27))&gt;0)</formula>
    </cfRule>
    <cfRule type="expression" priority="948" dxfId="2">
      <formula>$H31="土"</formula>
    </cfRule>
  </conditionalFormatting>
  <conditionalFormatting sqref="J31:K31">
    <cfRule type="expression" priority="949" dxfId="0">
      <formula>$J31=""</formula>
    </cfRule>
    <cfRule type="expression" priority="950" dxfId="1">
      <formula>OR($J31="日",COUNTIF(祝日!$A$2:$A$65,DATE(($C$2+0),8,27))&gt;0)</formula>
    </cfRule>
    <cfRule type="expression" priority="951" dxfId="2">
      <formula>$J31="土"</formula>
    </cfRule>
  </conditionalFormatting>
  <conditionalFormatting sqref="L31:M31">
    <cfRule type="expression" priority="952" dxfId="0">
      <formula>$L31=""</formula>
    </cfRule>
    <cfRule type="expression" priority="953" dxfId="1">
      <formula>OR($L31="日",COUNTIF(祝日!$A$2:$A$65,DATE(($C$2+0),9,27))&gt;0)</formula>
    </cfRule>
    <cfRule type="expression" priority="954" dxfId="2">
      <formula>$L31="土"</formula>
    </cfRule>
  </conditionalFormatting>
  <conditionalFormatting sqref="N31:O31">
    <cfRule type="expression" priority="955" dxfId="0">
      <formula>$N31=""</formula>
    </cfRule>
    <cfRule type="expression" priority="956" dxfId="1">
      <formula>OR($N31="日",COUNTIF(祝日!$A$2:$A$65,DATE(($C$2+0),10,27))&gt;0)</formula>
    </cfRule>
    <cfRule type="expression" priority="957" dxfId="2">
      <formula>$N31="土"</formula>
    </cfRule>
  </conditionalFormatting>
  <conditionalFormatting sqref="P31:Q31">
    <cfRule type="expression" priority="958" dxfId="0">
      <formula>$P31=""</formula>
    </cfRule>
    <cfRule type="expression" priority="959" dxfId="1">
      <formula>OR($P31="日",COUNTIF(祝日!$A$2:$A$65,DATE(($C$2+0),11,27))&gt;0)</formula>
    </cfRule>
    <cfRule type="expression" priority="960" dxfId="2">
      <formula>$P31="土"</formula>
    </cfRule>
  </conditionalFormatting>
  <conditionalFormatting sqref="R31:S31">
    <cfRule type="expression" priority="961" dxfId="0">
      <formula>$R31=""</formula>
    </cfRule>
    <cfRule type="expression" priority="962" dxfId="1">
      <formula>OR($R31="日",COUNTIF(祝日!$A$2:$A$65,DATE(($C$2+0),12,27))&gt;0)</formula>
    </cfRule>
    <cfRule type="expression" priority="963" dxfId="2">
      <formula>$R31="土"</formula>
    </cfRule>
  </conditionalFormatting>
  <conditionalFormatting sqref="T31:U31">
    <cfRule type="expression" priority="964" dxfId="0">
      <formula>$T31=""</formula>
    </cfRule>
    <cfRule type="expression" priority="965" dxfId="1">
      <formula>OR($T31="日",COUNTIF(祝日!$A$2:$A$65,DATE(($C$2+1),1,27))&gt;0)</formula>
    </cfRule>
    <cfRule type="expression" priority="966" dxfId="2">
      <formula>$T31="土"</formula>
    </cfRule>
  </conditionalFormatting>
  <conditionalFormatting sqref="V31:W31">
    <cfRule type="expression" priority="967" dxfId="0">
      <formula>$V31=""</formula>
    </cfRule>
    <cfRule type="expression" priority="968" dxfId="1">
      <formula>OR($V31="日",COUNTIF(祝日!$A$2:$A$65,DATE(($C$2+1),2,27))&gt;0)</formula>
    </cfRule>
    <cfRule type="expression" priority="969" dxfId="2">
      <formula>$V31="土"</formula>
    </cfRule>
  </conditionalFormatting>
  <conditionalFormatting sqref="X31:Y31">
    <cfRule type="expression" priority="970" dxfId="0">
      <formula>$X31=""</formula>
    </cfRule>
    <cfRule type="expression" priority="971" dxfId="1">
      <formula>OR($X31="日",COUNTIF(祝日!$A$2:$A$65,DATE(($C$2+1),3,27))&gt;0)</formula>
    </cfRule>
    <cfRule type="expression" priority="972" dxfId="2">
      <formula>$X31="土"</formula>
    </cfRule>
  </conditionalFormatting>
  <conditionalFormatting sqref="B32:C32">
    <cfRule type="expression" priority="973" dxfId="0">
      <formula>$B32=""</formula>
    </cfRule>
    <cfRule type="expression" priority="974" dxfId="1">
      <formula>OR($B32="日",COUNTIF(祝日!$A$2:$A$65,DATE(($C$2+0),4,28))&gt;0)</formula>
    </cfRule>
    <cfRule type="expression" priority="975" dxfId="2">
      <formula>$B32="土"</formula>
    </cfRule>
  </conditionalFormatting>
  <conditionalFormatting sqref="D32:E32">
    <cfRule type="expression" priority="976" dxfId="0">
      <formula>$D32=""</formula>
    </cfRule>
    <cfRule type="expression" priority="977" dxfId="1">
      <formula>OR($D32="日",COUNTIF(祝日!$A$2:$A$65,DATE(($C$2+0),5,28))&gt;0)</formula>
    </cfRule>
    <cfRule type="expression" priority="978" dxfId="2">
      <formula>$D32="土"</formula>
    </cfRule>
  </conditionalFormatting>
  <conditionalFormatting sqref="F32:G32">
    <cfRule type="expression" priority="979" dxfId="0">
      <formula>$F32=""</formula>
    </cfRule>
    <cfRule type="expression" priority="980" dxfId="1">
      <formula>OR($F32="日",COUNTIF(祝日!$A$2:$A$65,DATE(($C$2+0),6,28))&gt;0)</formula>
    </cfRule>
    <cfRule type="expression" priority="981" dxfId="2">
      <formula>$F32="土"</formula>
    </cfRule>
  </conditionalFormatting>
  <conditionalFormatting sqref="H32:I32">
    <cfRule type="expression" priority="982" dxfId="0">
      <formula>$H32=""</formula>
    </cfRule>
    <cfRule type="expression" priority="983" dxfId="1">
      <formula>OR($H32="日",COUNTIF(祝日!$A$2:$A$65,DATE(($C$2+0),7,28))&gt;0)</formula>
    </cfRule>
    <cfRule type="expression" priority="984" dxfId="2">
      <formula>$H32="土"</formula>
    </cfRule>
  </conditionalFormatting>
  <conditionalFormatting sqref="J32:K32">
    <cfRule type="expression" priority="985" dxfId="0">
      <formula>$J32=""</formula>
    </cfRule>
    <cfRule type="expression" priority="986" dxfId="1">
      <formula>OR($J32="日",COUNTIF(祝日!$A$2:$A$65,DATE(($C$2+0),8,28))&gt;0)</formula>
    </cfRule>
    <cfRule type="expression" priority="987" dxfId="2">
      <formula>$J32="土"</formula>
    </cfRule>
  </conditionalFormatting>
  <conditionalFormatting sqref="L32:M32">
    <cfRule type="expression" priority="988" dxfId="0">
      <formula>$L32=""</formula>
    </cfRule>
    <cfRule type="expression" priority="989" dxfId="1">
      <formula>OR($L32="日",COUNTIF(祝日!$A$2:$A$65,DATE(($C$2+0),9,28))&gt;0)</formula>
    </cfRule>
    <cfRule type="expression" priority="990" dxfId="2">
      <formula>$L32="土"</formula>
    </cfRule>
  </conditionalFormatting>
  <conditionalFormatting sqref="N32:O32">
    <cfRule type="expression" priority="991" dxfId="0">
      <formula>$N32=""</formula>
    </cfRule>
    <cfRule type="expression" priority="992" dxfId="1">
      <formula>OR($N32="日",COUNTIF(祝日!$A$2:$A$65,DATE(($C$2+0),10,28))&gt;0)</formula>
    </cfRule>
    <cfRule type="expression" priority="993" dxfId="2">
      <formula>$N32="土"</formula>
    </cfRule>
  </conditionalFormatting>
  <conditionalFormatting sqref="P32:Q32">
    <cfRule type="expression" priority="994" dxfId="0">
      <formula>$P32=""</formula>
    </cfRule>
    <cfRule type="expression" priority="995" dxfId="1">
      <formula>OR($P32="日",COUNTIF(祝日!$A$2:$A$65,DATE(($C$2+0),11,28))&gt;0)</formula>
    </cfRule>
    <cfRule type="expression" priority="996" dxfId="2">
      <formula>$P32="土"</formula>
    </cfRule>
  </conditionalFormatting>
  <conditionalFormatting sqref="R32:S32">
    <cfRule type="expression" priority="997" dxfId="0">
      <formula>$R32=""</formula>
    </cfRule>
    <cfRule type="expression" priority="998" dxfId="1">
      <formula>OR($R32="日",COUNTIF(祝日!$A$2:$A$65,DATE(($C$2+0),12,28))&gt;0)</formula>
    </cfRule>
    <cfRule type="expression" priority="999" dxfId="2">
      <formula>$R32="土"</formula>
    </cfRule>
  </conditionalFormatting>
  <conditionalFormatting sqref="T32:U32">
    <cfRule type="expression" priority="1000" dxfId="0">
      <formula>$T32=""</formula>
    </cfRule>
    <cfRule type="expression" priority="1001" dxfId="1">
      <formula>OR($T32="日",COUNTIF(祝日!$A$2:$A$65,DATE(($C$2+1),1,28))&gt;0)</formula>
    </cfRule>
    <cfRule type="expression" priority="1002" dxfId="2">
      <formula>$T32="土"</formula>
    </cfRule>
  </conditionalFormatting>
  <conditionalFormatting sqref="V32:W32">
    <cfRule type="expression" priority="1003" dxfId="0">
      <formula>$V32=""</formula>
    </cfRule>
    <cfRule type="expression" priority="1004" dxfId="1">
      <formula>OR($V32="日",COUNTIF(祝日!$A$2:$A$65,DATE(($C$2+1),2,28))&gt;0)</formula>
    </cfRule>
    <cfRule type="expression" priority="1005" dxfId="2">
      <formula>$V32="土"</formula>
    </cfRule>
  </conditionalFormatting>
  <conditionalFormatting sqref="X32:Y32">
    <cfRule type="expression" priority="1006" dxfId="0">
      <formula>$X32=""</formula>
    </cfRule>
    <cfRule type="expression" priority="1007" dxfId="1">
      <formula>OR($X32="日",COUNTIF(祝日!$A$2:$A$65,DATE(($C$2+1),3,28))&gt;0)</formula>
    </cfRule>
    <cfRule type="expression" priority="1008" dxfId="2">
      <formula>$X32="土"</formula>
    </cfRule>
  </conditionalFormatting>
  <conditionalFormatting sqref="B33:C33">
    <cfRule type="expression" priority="1009" dxfId="0">
      <formula>$B33=""</formula>
    </cfRule>
    <cfRule type="expression" priority="1010" dxfId="1">
      <formula>OR($B33="日",COUNTIF(祝日!$A$2:$A$65,DATE(($C$2+0),4,29))&gt;0)</formula>
    </cfRule>
    <cfRule type="expression" priority="1011" dxfId="2">
      <formula>$B33="土"</formula>
    </cfRule>
  </conditionalFormatting>
  <conditionalFormatting sqref="D33:E33">
    <cfRule type="expression" priority="1012" dxfId="0">
      <formula>$D33=""</formula>
    </cfRule>
    <cfRule type="expression" priority="1013" dxfId="1">
      <formula>OR($D33="日",COUNTIF(祝日!$A$2:$A$65,DATE(($C$2+0),5,29))&gt;0)</formula>
    </cfRule>
    <cfRule type="expression" priority="1014" dxfId="2">
      <formula>$D33="土"</formula>
    </cfRule>
  </conditionalFormatting>
  <conditionalFormatting sqref="F33:G33">
    <cfRule type="expression" priority="1015" dxfId="0">
      <formula>$F33=""</formula>
    </cfRule>
    <cfRule type="expression" priority="1016" dxfId="1">
      <formula>OR($F33="日",COUNTIF(祝日!$A$2:$A$65,DATE(($C$2+0),6,29))&gt;0)</formula>
    </cfRule>
    <cfRule type="expression" priority="1017" dxfId="2">
      <formula>$F33="土"</formula>
    </cfRule>
  </conditionalFormatting>
  <conditionalFormatting sqref="H33:I33">
    <cfRule type="expression" priority="1018" dxfId="0">
      <formula>$H33=""</formula>
    </cfRule>
    <cfRule type="expression" priority="1019" dxfId="1">
      <formula>OR($H33="日",COUNTIF(祝日!$A$2:$A$65,DATE(($C$2+0),7,29))&gt;0)</formula>
    </cfRule>
    <cfRule type="expression" priority="1020" dxfId="2">
      <formula>$H33="土"</formula>
    </cfRule>
  </conditionalFormatting>
  <conditionalFormatting sqref="J33:K33">
    <cfRule type="expression" priority="1021" dxfId="0">
      <formula>$J33=""</formula>
    </cfRule>
    <cfRule type="expression" priority="1022" dxfId="1">
      <formula>OR($J33="日",COUNTIF(祝日!$A$2:$A$65,DATE(($C$2+0),8,29))&gt;0)</formula>
    </cfRule>
    <cfRule type="expression" priority="1023" dxfId="2">
      <formula>$J33="土"</formula>
    </cfRule>
  </conditionalFormatting>
  <conditionalFormatting sqref="L33:M33">
    <cfRule type="expression" priority="1024" dxfId="0">
      <formula>$L33=""</formula>
    </cfRule>
    <cfRule type="expression" priority="1025" dxfId="1">
      <formula>OR($L33="日",COUNTIF(祝日!$A$2:$A$65,DATE(($C$2+0),9,29))&gt;0)</formula>
    </cfRule>
    <cfRule type="expression" priority="1026" dxfId="2">
      <formula>$L33="土"</formula>
    </cfRule>
  </conditionalFormatting>
  <conditionalFormatting sqref="N33:O33">
    <cfRule type="expression" priority="1027" dxfId="0">
      <formula>$N33=""</formula>
    </cfRule>
    <cfRule type="expression" priority="1028" dxfId="1">
      <formula>OR($N33="日",COUNTIF(祝日!$A$2:$A$65,DATE(($C$2+0),10,29))&gt;0)</formula>
    </cfRule>
    <cfRule type="expression" priority="1029" dxfId="2">
      <formula>$N33="土"</formula>
    </cfRule>
  </conditionalFormatting>
  <conditionalFormatting sqref="P33:Q33">
    <cfRule type="expression" priority="1030" dxfId="0">
      <formula>$P33=""</formula>
    </cfRule>
    <cfRule type="expression" priority="1031" dxfId="1">
      <formula>OR($P33="日",COUNTIF(祝日!$A$2:$A$65,DATE(($C$2+0),11,29))&gt;0)</formula>
    </cfRule>
    <cfRule type="expression" priority="1032" dxfId="2">
      <formula>$P33="土"</formula>
    </cfRule>
  </conditionalFormatting>
  <conditionalFormatting sqref="R33:S33">
    <cfRule type="expression" priority="1033" dxfId="0">
      <formula>$R33=""</formula>
    </cfRule>
    <cfRule type="expression" priority="1034" dxfId="1">
      <formula>OR($R33="日",COUNTIF(祝日!$A$2:$A$65,DATE(($C$2+0),12,29))&gt;0)</formula>
    </cfRule>
    <cfRule type="expression" priority="1035" dxfId="2">
      <formula>$R33="土"</formula>
    </cfRule>
  </conditionalFormatting>
  <conditionalFormatting sqref="T33:U33">
    <cfRule type="expression" priority="1036" dxfId="0">
      <formula>$T33=""</formula>
    </cfRule>
    <cfRule type="expression" priority="1037" dxfId="1">
      <formula>OR($T33="日",COUNTIF(祝日!$A$2:$A$65,DATE(($C$2+1),1,29))&gt;0)</formula>
    </cfRule>
    <cfRule type="expression" priority="1038" dxfId="2">
      <formula>$T33="土"</formula>
    </cfRule>
  </conditionalFormatting>
  <conditionalFormatting sqref="V33:W33">
    <cfRule type="expression" priority="1039" dxfId="0">
      <formula>$V33=""</formula>
    </cfRule>
    <cfRule type="expression" priority="1040" dxfId="1">
      <formula>OR($V33="日",COUNTIF(祝日!$A$2:$A$65,DATE(($C$2+1),2,29))&gt;0)</formula>
    </cfRule>
    <cfRule type="expression" priority="1041" dxfId="2">
      <formula>$V33="土"</formula>
    </cfRule>
  </conditionalFormatting>
  <conditionalFormatting sqref="X33:Y33">
    <cfRule type="expression" priority="1042" dxfId="0">
      <formula>$X33=""</formula>
    </cfRule>
    <cfRule type="expression" priority="1043" dxfId="1">
      <formula>OR($X33="日",COUNTIF(祝日!$A$2:$A$65,DATE(($C$2+1),3,29))&gt;0)</formula>
    </cfRule>
    <cfRule type="expression" priority="1044" dxfId="2">
      <formula>$X33="土"</formula>
    </cfRule>
  </conditionalFormatting>
  <conditionalFormatting sqref="B34:C34">
    <cfRule type="expression" priority="1045" dxfId="0">
      <formula>$B34=""</formula>
    </cfRule>
    <cfRule type="expression" priority="1046" dxfId="1">
      <formula>OR($B34="日",COUNTIF(祝日!$A$2:$A$65,DATE(($C$2+0),4,30))&gt;0)</formula>
    </cfRule>
    <cfRule type="expression" priority="1047" dxfId="2">
      <formula>$B34="土"</formula>
    </cfRule>
  </conditionalFormatting>
  <conditionalFormatting sqref="D34:E34">
    <cfRule type="expression" priority="1048" dxfId="0">
      <formula>$D34=""</formula>
    </cfRule>
    <cfRule type="expression" priority="1049" dxfId="1">
      <formula>OR($D34="日",COUNTIF(祝日!$A$2:$A$65,DATE(($C$2+0),5,30))&gt;0)</formula>
    </cfRule>
    <cfRule type="expression" priority="1050" dxfId="2">
      <formula>$D34="土"</formula>
    </cfRule>
  </conditionalFormatting>
  <conditionalFormatting sqref="F34:G34">
    <cfRule type="expression" priority="1051" dxfId="0">
      <formula>$F34=""</formula>
    </cfRule>
    <cfRule type="expression" priority="1052" dxfId="1">
      <formula>OR($F34="日",COUNTIF(祝日!$A$2:$A$65,DATE(($C$2+0),6,30))&gt;0)</formula>
    </cfRule>
    <cfRule type="expression" priority="1053" dxfId="2">
      <formula>$F34="土"</formula>
    </cfRule>
  </conditionalFormatting>
  <conditionalFormatting sqref="H34:I34">
    <cfRule type="expression" priority="1054" dxfId="0">
      <formula>$H34=""</formula>
    </cfRule>
    <cfRule type="expression" priority="1055" dxfId="1">
      <formula>OR($H34="日",COUNTIF(祝日!$A$2:$A$65,DATE(($C$2+0),7,30))&gt;0)</formula>
    </cfRule>
    <cfRule type="expression" priority="1056" dxfId="2">
      <formula>$H34="土"</formula>
    </cfRule>
  </conditionalFormatting>
  <conditionalFormatting sqref="J34:K34">
    <cfRule type="expression" priority="1057" dxfId="0">
      <formula>$J34=""</formula>
    </cfRule>
    <cfRule type="expression" priority="1058" dxfId="1">
      <formula>OR($J34="日",COUNTIF(祝日!$A$2:$A$65,DATE(($C$2+0),8,30))&gt;0)</formula>
    </cfRule>
    <cfRule type="expression" priority="1059" dxfId="2">
      <formula>$J34="土"</formula>
    </cfRule>
  </conditionalFormatting>
  <conditionalFormatting sqref="L34:M34">
    <cfRule type="expression" priority="1060" dxfId="0">
      <formula>$L34=""</formula>
    </cfRule>
    <cfRule type="expression" priority="1061" dxfId="1">
      <formula>OR($L34="日",COUNTIF(祝日!$A$2:$A$65,DATE(($C$2+0),9,30))&gt;0)</formula>
    </cfRule>
    <cfRule type="expression" priority="1062" dxfId="2">
      <formula>$L34="土"</formula>
    </cfRule>
  </conditionalFormatting>
  <conditionalFormatting sqref="N34:O34">
    <cfRule type="expression" priority="1063" dxfId="0">
      <formula>$N34=""</formula>
    </cfRule>
    <cfRule type="expression" priority="1064" dxfId="1">
      <formula>OR($N34="日",COUNTIF(祝日!$A$2:$A$65,DATE(($C$2+0),10,30))&gt;0)</formula>
    </cfRule>
    <cfRule type="expression" priority="1065" dxfId="2">
      <formula>$N34="土"</formula>
    </cfRule>
  </conditionalFormatting>
  <conditionalFormatting sqref="P34:Q34">
    <cfRule type="expression" priority="1066" dxfId="0">
      <formula>$P34=""</formula>
    </cfRule>
    <cfRule type="expression" priority="1067" dxfId="1">
      <formula>OR($P34="日",COUNTIF(祝日!$A$2:$A$65,DATE(($C$2+0),11,30))&gt;0)</formula>
    </cfRule>
    <cfRule type="expression" priority="1068" dxfId="2">
      <formula>$P34="土"</formula>
    </cfRule>
  </conditionalFormatting>
  <conditionalFormatting sqref="R34:S34">
    <cfRule type="expression" priority="1069" dxfId="0">
      <formula>$R34=""</formula>
    </cfRule>
    <cfRule type="expression" priority="1070" dxfId="1">
      <formula>OR($R34="日",COUNTIF(祝日!$A$2:$A$65,DATE(($C$2+0),12,30))&gt;0)</formula>
    </cfRule>
    <cfRule type="expression" priority="1071" dxfId="2">
      <formula>$R34="土"</formula>
    </cfRule>
  </conditionalFormatting>
  <conditionalFormatting sqref="T34:U34">
    <cfRule type="expression" priority="1072" dxfId="0">
      <formula>$T34=""</formula>
    </cfRule>
    <cfRule type="expression" priority="1073" dxfId="1">
      <formula>OR($T34="日",COUNTIF(祝日!$A$2:$A$65,DATE(($C$2+1),1,30))&gt;0)</formula>
    </cfRule>
    <cfRule type="expression" priority="1074" dxfId="2">
      <formula>$T34="土"</formula>
    </cfRule>
  </conditionalFormatting>
  <conditionalFormatting sqref="V34:W34">
    <cfRule type="expression" priority="1075" dxfId="0">
      <formula>$V34=""</formula>
    </cfRule>
    <cfRule type="expression" priority="1076" dxfId="1">
      <formula>OR($V34="日",COUNTIF(祝日!$A$2:$A$65,DATE(($C$2+1),2,30))&gt;0)</formula>
    </cfRule>
    <cfRule type="expression" priority="1077" dxfId="2">
      <formula>$V34="土"</formula>
    </cfRule>
  </conditionalFormatting>
  <conditionalFormatting sqref="X34:Y34">
    <cfRule type="expression" priority="1078" dxfId="0">
      <formula>$X34=""</formula>
    </cfRule>
    <cfRule type="expression" priority="1079" dxfId="1">
      <formula>OR($X34="日",COUNTIF(祝日!$A$2:$A$65,DATE(($C$2+1),3,30))&gt;0)</formula>
    </cfRule>
    <cfRule type="expression" priority="1080" dxfId="2">
      <formula>$X34="土"</formula>
    </cfRule>
  </conditionalFormatting>
  <conditionalFormatting sqref="B35:C35">
    <cfRule type="expression" priority="1081" dxfId="0">
      <formula>$B35=""</formula>
    </cfRule>
    <cfRule type="expression" priority="1082" dxfId="1">
      <formula>OR($B35="日",COUNTIF(祝日!$A$2:$A$65,DATE(($C$2+0),4,31))&gt;0)</formula>
    </cfRule>
    <cfRule type="expression" priority="1083" dxfId="2">
      <formula>$B35="土"</formula>
    </cfRule>
  </conditionalFormatting>
  <conditionalFormatting sqref="D35:E35">
    <cfRule type="expression" priority="1084" dxfId="0">
      <formula>$D35=""</formula>
    </cfRule>
    <cfRule type="expression" priority="1085" dxfId="1">
      <formula>OR($D35="日",COUNTIF(祝日!$A$2:$A$65,DATE(($C$2+0),5,31))&gt;0)</formula>
    </cfRule>
    <cfRule type="expression" priority="1086" dxfId="2">
      <formula>$D35="土"</formula>
    </cfRule>
  </conditionalFormatting>
  <conditionalFormatting sqref="F35:G35">
    <cfRule type="expression" priority="1087" dxfId="0">
      <formula>$F35=""</formula>
    </cfRule>
    <cfRule type="expression" priority="1088" dxfId="1">
      <formula>OR($F35="日",COUNTIF(祝日!$A$2:$A$65,DATE(($C$2+0),6,31))&gt;0)</formula>
    </cfRule>
    <cfRule type="expression" priority="1089" dxfId="2">
      <formula>$F35="土"</formula>
    </cfRule>
  </conditionalFormatting>
  <conditionalFormatting sqref="H35:I35">
    <cfRule type="expression" priority="1090" dxfId="0">
      <formula>$H35=""</formula>
    </cfRule>
    <cfRule type="expression" priority="1091" dxfId="1">
      <formula>OR($H35="日",COUNTIF(祝日!$A$2:$A$65,DATE(($C$2+0),7,31))&gt;0)</formula>
    </cfRule>
    <cfRule type="expression" priority="1092" dxfId="2">
      <formula>$H35="土"</formula>
    </cfRule>
  </conditionalFormatting>
  <conditionalFormatting sqref="J35:K35">
    <cfRule type="expression" priority="1093" dxfId="0">
      <formula>$J35=""</formula>
    </cfRule>
    <cfRule type="expression" priority="1094" dxfId="1">
      <formula>OR($J35="日",COUNTIF(祝日!$A$2:$A$65,DATE(($C$2+0),8,31))&gt;0)</formula>
    </cfRule>
    <cfRule type="expression" priority="1095" dxfId="2">
      <formula>$J35="土"</formula>
    </cfRule>
  </conditionalFormatting>
  <conditionalFormatting sqref="L35:M35">
    <cfRule type="expression" priority="1096" dxfId="0">
      <formula>$L35=""</formula>
    </cfRule>
    <cfRule type="expression" priority="1097" dxfId="1">
      <formula>OR($L35="日",COUNTIF(祝日!$A$2:$A$65,DATE(($C$2+0),9,31))&gt;0)</formula>
    </cfRule>
    <cfRule type="expression" priority="1098" dxfId="2">
      <formula>$L35="土"</formula>
    </cfRule>
  </conditionalFormatting>
  <conditionalFormatting sqref="N35:O35">
    <cfRule type="expression" priority="1099" dxfId="0">
      <formula>$N35=""</formula>
    </cfRule>
    <cfRule type="expression" priority="1100" dxfId="1">
      <formula>OR($N35="日",COUNTIF(祝日!$A$2:$A$65,DATE(($C$2+0),10,31))&gt;0)</formula>
    </cfRule>
    <cfRule type="expression" priority="1101" dxfId="2">
      <formula>$N35="土"</formula>
    </cfRule>
  </conditionalFormatting>
  <conditionalFormatting sqref="P35:Q35">
    <cfRule type="expression" priority="1102" dxfId="0">
      <formula>$P35=""</formula>
    </cfRule>
    <cfRule type="expression" priority="1103" dxfId="1">
      <formula>OR($P35="日",COUNTIF(祝日!$A$2:$A$65,DATE(($C$2+0),11,31))&gt;0)</formula>
    </cfRule>
    <cfRule type="expression" priority="1104" dxfId="2">
      <formula>$P35="土"</formula>
    </cfRule>
  </conditionalFormatting>
  <conditionalFormatting sqref="R35:S35">
    <cfRule type="expression" priority="1105" dxfId="0">
      <formula>$R35=""</formula>
    </cfRule>
    <cfRule type="expression" priority="1106" dxfId="1">
      <formula>OR($R35="日",COUNTIF(祝日!$A$2:$A$65,DATE(($C$2+0),12,31))&gt;0)</formula>
    </cfRule>
    <cfRule type="expression" priority="1107" dxfId="2">
      <formula>$R35="土"</formula>
    </cfRule>
  </conditionalFormatting>
  <conditionalFormatting sqref="T35:U35">
    <cfRule type="expression" priority="1108" dxfId="0">
      <formula>$T35=""</formula>
    </cfRule>
    <cfRule type="expression" priority="1109" dxfId="1">
      <formula>OR($T35="日",COUNTIF(祝日!$A$2:$A$65,DATE(($C$2+1),1,31))&gt;0)</formula>
    </cfRule>
    <cfRule type="expression" priority="1110" dxfId="2">
      <formula>$T35="土"</formula>
    </cfRule>
  </conditionalFormatting>
  <conditionalFormatting sqref="V35:W35">
    <cfRule type="expression" priority="1111" dxfId="0">
      <formula>$V35=""</formula>
    </cfRule>
    <cfRule type="expression" priority="1112" dxfId="1">
      <formula>OR($V35="日",COUNTIF(祝日!$A$2:$A$65,DATE(($C$2+1),2,31))&gt;0)</formula>
    </cfRule>
    <cfRule type="expression" priority="1113" dxfId="2">
      <formula>$V35="土"</formula>
    </cfRule>
  </conditionalFormatting>
  <conditionalFormatting sqref="X35:Y35">
    <cfRule type="expression" priority="1114" dxfId="0">
      <formula>$X35=""</formula>
    </cfRule>
    <cfRule type="expression" priority="1115" dxfId="1">
      <formula>OR($X35="日",COUNTIF(祝日!$A$2:$A$65,DATE(($C$2+1),3,31))&gt;0)</formula>
    </cfRule>
    <cfRule type="expression" priority="1116" dxfId="2">
      <formula>$X35="土"</formula>
    </cfRule>
  </conditionalFormatting>
  <printOptions horizontalCentered="1"/>
  <pageMargins left="0.75" right="0.75" top="1" bottom="1" header="0.5" footer="0.5"/>
  <pageSetup orientation="landscape" paperSize="8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6" customWidth="1" min="1" max="1"/>
    <col width="9" customWidth="1" min="2" max="2"/>
    <col width="26" customWidth="1" min="3" max="3"/>
    <col width="20" customWidth="1" min="4" max="4"/>
    <col width="14" customWidth="1" min="5" max="5"/>
    <col width="22" customWidth="1" min="6" max="6"/>
  </cols>
  <sheetData>
    <row r="1">
      <c r="A1" s="13" t="inlineStr">
        <is>
          <t>年間行事の一覧</t>
        </is>
      </c>
    </row>
    <row r="3">
      <c r="A3" s="14" t="inlineStr">
        <is>
          <t>月</t>
        </is>
      </c>
      <c r="B3" s="14" t="inlineStr">
        <is>
          <t>日</t>
        </is>
      </c>
      <c r="C3" s="14" t="inlineStr">
        <is>
          <t>行事</t>
        </is>
      </c>
      <c r="D3" s="14" t="inlineStr">
        <is>
          <t>対象・場所</t>
        </is>
      </c>
      <c r="E3" s="14" t="inlineStr">
        <is>
          <t>担当</t>
        </is>
      </c>
      <c r="F3" s="14" t="inlineStr">
        <is>
          <t>準備・メモ</t>
        </is>
      </c>
    </row>
    <row r="4" ht="19" customHeight="1">
      <c r="A4" s="15" t="n">
        <v>4</v>
      </c>
      <c r="B4" s="16" t="inlineStr">
        <is>
          <t>6</t>
        </is>
      </c>
      <c r="C4" s="17" t="inlineStr">
        <is>
          <t>始業式</t>
        </is>
      </c>
      <c r="D4" s="18" t="inlineStr">
        <is>
          <t>全学年</t>
        </is>
      </c>
      <c r="E4" s="18" t="inlineStr">
        <is>
          <t>教務</t>
        </is>
      </c>
      <c r="F4" s="19" t="n"/>
    </row>
    <row r="5" ht="19" customHeight="1">
      <c r="A5" s="15" t="n">
        <v>4</v>
      </c>
      <c r="B5" s="16" t="inlineStr">
        <is>
          <t>7</t>
        </is>
      </c>
      <c r="C5" s="17" t="inlineStr">
        <is>
          <t>入学式</t>
        </is>
      </c>
      <c r="D5" s="18" t="inlineStr">
        <is>
          <t>新1年生・保護者</t>
        </is>
      </c>
      <c r="E5" s="18" t="inlineStr">
        <is>
          <t>1年担任</t>
        </is>
      </c>
      <c r="F5" s="19" t="n"/>
    </row>
    <row r="6" ht="19" customHeight="1">
      <c r="A6" s="15" t="n">
        <v>4</v>
      </c>
      <c r="B6" s="16" t="inlineStr">
        <is>
          <t>17</t>
        </is>
      </c>
      <c r="C6" s="17" t="inlineStr">
        <is>
          <t>授業参観・懇談会</t>
        </is>
      </c>
      <c r="D6" s="18" t="inlineStr">
        <is>
          <t>保護者</t>
        </is>
      </c>
      <c r="E6" s="18" t="inlineStr">
        <is>
          <t>各担任</t>
        </is>
      </c>
      <c r="F6" s="19" t="n"/>
    </row>
    <row r="7" ht="19" customHeight="1">
      <c r="A7" s="15" t="n">
        <v>5</v>
      </c>
      <c r="B7" s="16" t="inlineStr">
        <is>
          <t>15</t>
        </is>
      </c>
      <c r="C7" s="17" t="inlineStr">
        <is>
          <t>遠足</t>
        </is>
      </c>
      <c r="D7" s="18" t="inlineStr">
        <is>
          <t>全学年</t>
        </is>
      </c>
      <c r="E7" s="18" t="inlineStr">
        <is>
          <t>学年主任</t>
        </is>
      </c>
      <c r="F7" s="19" t="n"/>
    </row>
    <row r="8" ht="19" customHeight="1">
      <c r="A8" s="15" t="n">
        <v>5</v>
      </c>
      <c r="B8" s="16" t="inlineStr">
        <is>
          <t>29</t>
        </is>
      </c>
      <c r="C8" s="17" t="inlineStr">
        <is>
          <t>運動会(予備日 6/1)</t>
        </is>
      </c>
      <c r="D8" s="18" t="inlineStr">
        <is>
          <t>全学年・保護者</t>
        </is>
      </c>
      <c r="E8" s="18" t="inlineStr">
        <is>
          <t>体育部</t>
        </is>
      </c>
      <c r="F8" s="19" t="n"/>
    </row>
    <row r="9" ht="19" customHeight="1">
      <c r="A9" s="15" t="n">
        <v>6</v>
      </c>
      <c r="B9" s="16" t="inlineStr">
        <is>
          <t>10</t>
        </is>
      </c>
      <c r="C9" s="17" t="inlineStr">
        <is>
          <t>プール開き</t>
        </is>
      </c>
      <c r="D9" s="18" t="inlineStr">
        <is>
          <t>全学年</t>
        </is>
      </c>
      <c r="E9" s="18" t="inlineStr">
        <is>
          <t>体育部</t>
        </is>
      </c>
      <c r="F9" s="19" t="n"/>
    </row>
    <row r="10" ht="19" customHeight="1">
      <c r="A10" s="15" t="n">
        <v>6</v>
      </c>
      <c r="B10" s="16" t="inlineStr">
        <is>
          <t>24〜26</t>
        </is>
      </c>
      <c r="C10" s="17" t="inlineStr">
        <is>
          <t>個人面談</t>
        </is>
      </c>
      <c r="D10" s="18" t="inlineStr">
        <is>
          <t>保護者</t>
        </is>
      </c>
      <c r="E10" s="18" t="inlineStr">
        <is>
          <t>各担任</t>
        </is>
      </c>
      <c r="F10" s="19" t="n"/>
    </row>
    <row r="11" ht="19" customHeight="1">
      <c r="A11" s="15" t="n">
        <v>7</v>
      </c>
      <c r="B11" s="16" t="inlineStr">
        <is>
          <t>17</t>
        </is>
      </c>
      <c r="C11" s="17" t="inlineStr">
        <is>
          <t>終業式</t>
        </is>
      </c>
      <c r="D11" s="18" t="inlineStr">
        <is>
          <t>全学年</t>
        </is>
      </c>
      <c r="E11" s="18" t="inlineStr">
        <is>
          <t>教務</t>
        </is>
      </c>
      <c r="F11" s="19" t="n"/>
    </row>
    <row r="12" ht="19" customHeight="1">
      <c r="A12" s="15" t="n">
        <v>9</v>
      </c>
      <c r="B12" s="16" t="inlineStr">
        <is>
          <t>11</t>
        </is>
      </c>
      <c r="C12" s="17" t="inlineStr">
        <is>
          <t>避難訓練</t>
        </is>
      </c>
      <c r="D12" s="18" t="inlineStr">
        <is>
          <t>全学年</t>
        </is>
      </c>
      <c r="E12" s="18" t="inlineStr">
        <is>
          <t>安全部</t>
        </is>
      </c>
      <c r="F12" s="19" t="n"/>
    </row>
    <row r="13" ht="19" customHeight="1">
      <c r="A13" s="15" t="n">
        <v>10</v>
      </c>
      <c r="B13" s="16" t="inlineStr">
        <is>
          <t>16</t>
        </is>
      </c>
      <c r="C13" s="17" t="inlineStr">
        <is>
          <t>校外学習</t>
        </is>
      </c>
      <c r="D13" s="18" t="inlineStr">
        <is>
          <t>3・4年</t>
        </is>
      </c>
      <c r="E13" s="18" t="inlineStr">
        <is>
          <t>学年主任</t>
        </is>
      </c>
      <c r="F13" s="19" t="n"/>
    </row>
    <row r="14" ht="19" customHeight="1">
      <c r="A14" s="15" t="n">
        <v>11</v>
      </c>
      <c r="B14" s="16" t="inlineStr">
        <is>
          <t>6</t>
        </is>
      </c>
      <c r="C14" s="17" t="inlineStr">
        <is>
          <t>学習発表会</t>
        </is>
      </c>
      <c r="D14" s="18" t="inlineStr">
        <is>
          <t>全学年・保護者</t>
        </is>
      </c>
      <c r="E14" s="18" t="inlineStr">
        <is>
          <t>各担任</t>
        </is>
      </c>
      <c r="F14" s="19" t="n"/>
    </row>
    <row r="15" ht="19" customHeight="1">
      <c r="A15" s="15" t="n">
        <v>12</v>
      </c>
      <c r="B15" s="16" t="inlineStr">
        <is>
          <t>23</t>
        </is>
      </c>
      <c r="C15" s="17" t="inlineStr">
        <is>
          <t>終業式</t>
        </is>
      </c>
      <c r="D15" s="18" t="inlineStr">
        <is>
          <t>全学年</t>
        </is>
      </c>
      <c r="E15" s="18" t="inlineStr">
        <is>
          <t>教務</t>
        </is>
      </c>
      <c r="F15" s="19" t="n"/>
    </row>
    <row r="16" ht="19" customHeight="1">
      <c r="A16" s="15" t="n">
        <v>2</v>
      </c>
      <c r="B16" s="16" t="inlineStr">
        <is>
          <t>19</t>
        </is>
      </c>
      <c r="C16" s="17" t="inlineStr">
        <is>
          <t>6年生を送る会</t>
        </is>
      </c>
      <c r="D16" s="18" t="inlineStr">
        <is>
          <t>全学年</t>
        </is>
      </c>
      <c r="E16" s="18" t="inlineStr">
        <is>
          <t>児童会</t>
        </is>
      </c>
      <c r="F16" s="19" t="n"/>
    </row>
    <row r="17" ht="19" customHeight="1">
      <c r="A17" s="15" t="n">
        <v>3</v>
      </c>
      <c r="B17" s="16" t="inlineStr">
        <is>
          <t>18</t>
        </is>
      </c>
      <c r="C17" s="17" t="inlineStr">
        <is>
          <t>卒業式</t>
        </is>
      </c>
      <c r="D17" s="18" t="inlineStr">
        <is>
          <t>6年・保護者</t>
        </is>
      </c>
      <c r="E17" s="18" t="inlineStr">
        <is>
          <t>6年担任</t>
        </is>
      </c>
      <c r="F17" s="19" t="n"/>
    </row>
    <row r="18" ht="19" customHeight="1">
      <c r="A18" s="15" t="n"/>
      <c r="B18" s="16" t="n"/>
      <c r="C18" s="17" t="n"/>
      <c r="D18" s="18" t="n"/>
      <c r="E18" s="18" t="n"/>
      <c r="F18" s="19" t="n"/>
    </row>
    <row r="19" ht="19" customHeight="1">
      <c r="A19" s="15" t="n"/>
      <c r="B19" s="16" t="n"/>
      <c r="C19" s="17" t="n"/>
      <c r="D19" s="18" t="n"/>
      <c r="E19" s="18" t="n"/>
      <c r="F19" s="19" t="n"/>
    </row>
    <row r="20" ht="19" customHeight="1">
      <c r="A20" s="15" t="n"/>
      <c r="B20" s="16" t="n"/>
      <c r="C20" s="17" t="n"/>
      <c r="D20" s="18" t="n"/>
      <c r="E20" s="18" t="n"/>
      <c r="F20" s="19" t="n"/>
    </row>
    <row r="21" ht="19" customHeight="1">
      <c r="A21" s="15" t="n"/>
      <c r="B21" s="16" t="n"/>
      <c r="C21" s="17" t="n"/>
      <c r="D21" s="18" t="n"/>
      <c r="E21" s="18" t="n"/>
      <c r="F21" s="19" t="n"/>
    </row>
    <row r="22" ht="19" customHeight="1">
      <c r="A22" s="15" t="n"/>
      <c r="B22" s="16" t="n"/>
      <c r="C22" s="17" t="n"/>
      <c r="D22" s="18" t="n"/>
      <c r="E22" s="18" t="n"/>
      <c r="F22" s="19" t="n"/>
    </row>
    <row r="23" ht="19" customHeight="1">
      <c r="A23" s="15" t="n"/>
      <c r="B23" s="16" t="n"/>
      <c r="C23" s="17" t="n"/>
      <c r="D23" s="18" t="n"/>
      <c r="E23" s="18" t="n"/>
      <c r="F23" s="19" t="n"/>
    </row>
    <row r="24" ht="19" customHeight="1">
      <c r="A24" s="15" t="n"/>
      <c r="B24" s="16" t="n"/>
      <c r="C24" s="17" t="n"/>
      <c r="D24" s="18" t="n"/>
      <c r="E24" s="18" t="n"/>
      <c r="F24" s="19" t="n"/>
    </row>
    <row r="25" ht="19" customHeight="1">
      <c r="A25" s="15" t="n"/>
      <c r="B25" s="16" t="n"/>
      <c r="C25" s="17" t="n"/>
      <c r="D25" s="18" t="n"/>
      <c r="E25" s="18" t="n"/>
      <c r="F25" s="19" t="n"/>
    </row>
    <row r="26" ht="19" customHeight="1">
      <c r="A26" s="15" t="n"/>
      <c r="B26" s="16" t="n"/>
      <c r="C26" s="17" t="n"/>
      <c r="D26" s="18" t="n"/>
      <c r="E26" s="18" t="n"/>
      <c r="F26" s="19" t="n"/>
    </row>
    <row r="27" ht="19" customHeight="1">
      <c r="A27" s="15" t="n"/>
      <c r="B27" s="16" t="n"/>
      <c r="C27" s="17" t="n"/>
      <c r="D27" s="18" t="n"/>
      <c r="E27" s="18" t="n"/>
      <c r="F27" s="19" t="n"/>
    </row>
    <row r="28" ht="19" customHeight="1">
      <c r="A28" s="15" t="n"/>
      <c r="B28" s="16" t="n"/>
      <c r="C28" s="17" t="n"/>
      <c r="D28" s="18" t="n"/>
      <c r="E28" s="18" t="n"/>
      <c r="F28" s="19" t="n"/>
    </row>
    <row r="29" ht="19" customHeight="1">
      <c r="A29" s="15" t="n"/>
      <c r="B29" s="16" t="n"/>
      <c r="C29" s="17" t="n"/>
      <c r="D29" s="18" t="n"/>
      <c r="E29" s="18" t="n"/>
      <c r="F29" s="19" t="n"/>
    </row>
    <row r="30" ht="19" customHeight="1">
      <c r="A30" s="15" t="n"/>
      <c r="B30" s="16" t="n"/>
      <c r="C30" s="17" t="n"/>
      <c r="D30" s="18" t="n"/>
      <c r="E30" s="18" t="n"/>
      <c r="F30" s="19" t="n"/>
    </row>
    <row r="31" ht="19" customHeight="1">
      <c r="A31" s="15" t="n"/>
      <c r="B31" s="16" t="n"/>
      <c r="C31" s="17" t="n"/>
      <c r="D31" s="18" t="n"/>
      <c r="E31" s="18" t="n"/>
      <c r="F31" s="19" t="n"/>
    </row>
    <row r="32" ht="19" customHeight="1">
      <c r="A32" s="15" t="n"/>
      <c r="B32" s="16" t="n"/>
      <c r="C32" s="17" t="n"/>
      <c r="D32" s="18" t="n"/>
      <c r="E32" s="18" t="n"/>
      <c r="F32" s="19" t="n"/>
    </row>
    <row r="33" ht="19" customHeight="1">
      <c r="A33" s="15" t="n"/>
      <c r="B33" s="16" t="n"/>
      <c r="C33" s="17" t="n"/>
      <c r="D33" s="18" t="n"/>
      <c r="E33" s="18" t="n"/>
      <c r="F33" s="19" t="n"/>
    </row>
  </sheetData>
  <mergeCells count="1">
    <mergeCell ref="A1:F1"/>
  </mergeCells>
  <printOptions horizontalCentered="1"/>
  <pageMargins left="0.75" right="0.75" top="1" bottom="1" header="0.5" footer="0.5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</cols>
  <sheetData>
    <row r="1">
      <c r="A1" t="inlineStr">
        <is>
          <t>日付</t>
        </is>
      </c>
      <c r="B1" t="inlineStr">
        <is>
          <t>祝日名</t>
        </is>
      </c>
      <c r="D1" t="inlineStr">
        <is>
          <t>※2028年以降の祝日は、内閣府の発表後にこの表の下に日付と名前を追加すると、予定表に反映されます。</t>
        </is>
      </c>
    </row>
    <row r="2">
      <c r="A2" s="20" t="n">
        <v>46023</v>
      </c>
      <c r="B2" t="inlineStr">
        <is>
          <t>元日</t>
        </is>
      </c>
    </row>
    <row r="3">
      <c r="A3" s="20" t="n">
        <v>46034</v>
      </c>
      <c r="B3" t="inlineStr">
        <is>
          <t>成人の日</t>
        </is>
      </c>
    </row>
    <row r="4">
      <c r="A4" s="20" t="n">
        <v>46064</v>
      </c>
      <c r="B4" t="inlineStr">
        <is>
          <t>建国記念の日</t>
        </is>
      </c>
    </row>
    <row r="5">
      <c r="A5" s="20" t="n">
        <v>46076</v>
      </c>
      <c r="B5" t="inlineStr">
        <is>
          <t>天皇誕生日</t>
        </is>
      </c>
    </row>
    <row r="6">
      <c r="A6" s="20" t="n">
        <v>46101</v>
      </c>
      <c r="B6" t="inlineStr">
        <is>
          <t>春分の日</t>
        </is>
      </c>
    </row>
    <row r="7">
      <c r="A7" s="20" t="n">
        <v>46141</v>
      </c>
      <c r="B7" t="inlineStr">
        <is>
          <t>昭和の日</t>
        </is>
      </c>
    </row>
    <row r="8">
      <c r="A8" s="20" t="n">
        <v>46145</v>
      </c>
      <c r="B8" t="inlineStr">
        <is>
          <t>憲法記念日</t>
        </is>
      </c>
    </row>
    <row r="9">
      <c r="A9" s="20" t="n">
        <v>46146</v>
      </c>
      <c r="B9" t="inlineStr">
        <is>
          <t>みどりの日</t>
        </is>
      </c>
    </row>
    <row r="10">
      <c r="A10" s="20" t="n">
        <v>46147</v>
      </c>
      <c r="B10" t="inlineStr">
        <is>
          <t>こどもの日</t>
        </is>
      </c>
    </row>
    <row r="11">
      <c r="A11" s="20" t="n">
        <v>46148</v>
      </c>
      <c r="B11" t="inlineStr">
        <is>
          <t>振替休日</t>
        </is>
      </c>
    </row>
    <row r="12">
      <c r="A12" s="20" t="n">
        <v>46223</v>
      </c>
      <c r="B12" t="inlineStr">
        <is>
          <t>海の日</t>
        </is>
      </c>
    </row>
    <row r="13">
      <c r="A13" s="20" t="n">
        <v>46245</v>
      </c>
      <c r="B13" t="inlineStr">
        <is>
          <t>山の日</t>
        </is>
      </c>
    </row>
    <row r="14">
      <c r="A14" s="20" t="n">
        <v>46286</v>
      </c>
      <c r="B14" t="inlineStr">
        <is>
          <t>敬老の日</t>
        </is>
      </c>
    </row>
    <row r="15">
      <c r="A15" s="20" t="n">
        <v>46287</v>
      </c>
      <c r="B15" t="inlineStr">
        <is>
          <t>国民の休日</t>
        </is>
      </c>
    </row>
    <row r="16">
      <c r="A16" s="20" t="n">
        <v>46288</v>
      </c>
      <c r="B16" t="inlineStr">
        <is>
          <t>秋分の日</t>
        </is>
      </c>
    </row>
    <row r="17">
      <c r="A17" s="20" t="n">
        <v>46307</v>
      </c>
      <c r="B17" t="inlineStr">
        <is>
          <t>スポーツの日</t>
        </is>
      </c>
    </row>
    <row r="18">
      <c r="A18" s="20" t="n">
        <v>46329</v>
      </c>
      <c r="B18" t="inlineStr">
        <is>
          <t>文化の日</t>
        </is>
      </c>
    </row>
    <row r="19">
      <c r="A19" s="20" t="n">
        <v>46349</v>
      </c>
      <c r="B19" t="inlineStr">
        <is>
          <t>勤労感謝の日</t>
        </is>
      </c>
    </row>
    <row r="20">
      <c r="A20" s="20" t="n">
        <v>46388</v>
      </c>
      <c r="B20" t="inlineStr">
        <is>
          <t>元日</t>
        </is>
      </c>
    </row>
    <row r="21">
      <c r="A21" s="20" t="n">
        <v>46398</v>
      </c>
      <c r="B21" t="inlineStr">
        <is>
          <t>成人の日</t>
        </is>
      </c>
    </row>
    <row r="22">
      <c r="A22" s="20" t="n">
        <v>46429</v>
      </c>
      <c r="B22" t="inlineStr">
        <is>
          <t>建国記念の日</t>
        </is>
      </c>
    </row>
    <row r="23">
      <c r="A23" s="20" t="n">
        <v>46441</v>
      </c>
      <c r="B23" t="inlineStr">
        <is>
          <t>天皇誕生日</t>
        </is>
      </c>
    </row>
    <row r="24">
      <c r="A24" s="20" t="n">
        <v>46467</v>
      </c>
      <c r="B24" t="inlineStr">
        <is>
          <t>春分の日</t>
        </is>
      </c>
    </row>
    <row r="25">
      <c r="A25" s="20" t="n">
        <v>46468</v>
      </c>
      <c r="B25" t="inlineStr">
        <is>
          <t>振替休日</t>
        </is>
      </c>
    </row>
    <row r="26">
      <c r="A26" s="20" t="n">
        <v>46506</v>
      </c>
      <c r="B26" t="inlineStr">
        <is>
          <t>昭和の日</t>
        </is>
      </c>
    </row>
    <row r="27">
      <c r="A27" s="20" t="n">
        <v>46510</v>
      </c>
      <c r="B27" t="inlineStr">
        <is>
          <t>憲法記念日</t>
        </is>
      </c>
    </row>
    <row r="28">
      <c r="A28" s="20" t="n">
        <v>46511</v>
      </c>
      <c r="B28" t="inlineStr">
        <is>
          <t>みどりの日</t>
        </is>
      </c>
    </row>
    <row r="29">
      <c r="A29" s="20" t="n">
        <v>46512</v>
      </c>
      <c r="B29" t="inlineStr">
        <is>
          <t>こどもの日</t>
        </is>
      </c>
    </row>
    <row r="30">
      <c r="A30" s="20" t="n">
        <v>46587</v>
      </c>
      <c r="B30" t="inlineStr">
        <is>
          <t>海の日</t>
        </is>
      </c>
    </row>
    <row r="31">
      <c r="A31" s="20" t="n">
        <v>46610</v>
      </c>
      <c r="B31" t="inlineStr">
        <is>
          <t>山の日</t>
        </is>
      </c>
    </row>
    <row r="32">
      <c r="A32" s="20" t="n">
        <v>46650</v>
      </c>
      <c r="B32" t="inlineStr">
        <is>
          <t>敬老の日</t>
        </is>
      </c>
    </row>
    <row r="33">
      <c r="A33" s="20" t="n">
        <v>46653</v>
      </c>
      <c r="B33" t="inlineStr">
        <is>
          <t>秋分の日</t>
        </is>
      </c>
    </row>
    <row r="34">
      <c r="A34" s="20" t="n">
        <v>46671</v>
      </c>
      <c r="B34" t="inlineStr">
        <is>
          <t>スポーツの日</t>
        </is>
      </c>
    </row>
    <row r="35">
      <c r="A35" s="20" t="n">
        <v>46694</v>
      </c>
      <c r="B35" t="inlineStr">
        <is>
          <t>文化の日</t>
        </is>
      </c>
    </row>
    <row r="36">
      <c r="A36" s="20" t="n">
        <v>46714</v>
      </c>
      <c r="B36" t="inlineStr">
        <is>
          <t>勤労感謝の日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2026-10-24T22:35:50Z</dcterms:created>
  <dcterms:modified xmlns:dcterms="http://purl.org/dc/terms/" xmlns:xsi="http://www.w3.org/2001/XMLSchema-instance" xsi:type="dcterms:W3CDTF">2026-10-24T22:35:51Z</dcterms:modified>
</cp:coreProperties>
</file>